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CF19BA1D-04F0-4C0B-9B12-F827C8CC633B}" xr6:coauthVersionLast="47" xr6:coauthVersionMax="47" xr10:uidLastSave="{00000000-0000-0000-0000-000000000000}"/>
  <bookViews>
    <workbookView xWindow="-28920" yWindow="-3135" windowWidth="29040" windowHeight="15720" activeTab="3" xr2:uid="{7C99C95C-89B3-4814-8CE9-A9883110586A}"/>
  </bookViews>
  <sheets>
    <sheet name="2020 + " sheetId="1" r:id="rId1"/>
    <sheet name="AUXILIAR ACTIVOS" sheetId="3" r:id="rId2"/>
    <sheet name="ART 137 ET" sheetId="2" r:id="rId3"/>
    <sheet name="DEPRECIACION DEFINITIVA" sheetId="4" r:id="rId4"/>
    <sheet name="Hoja2" sheetId="6" r:id="rId5"/>
    <sheet name="Hoja1" sheetId="5" r:id="rId6"/>
  </sheets>
  <definedNames>
    <definedName name="_xlnm._FilterDatabase" localSheetId="3" hidden="1">'DEPRECIACION DEFINITIVA'!$B$23:$BQ$60</definedName>
    <definedName name="_xlnm.Print_Titles" localSheetId="0">'2020 + '!$B:$AD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3" i="4" l="1"/>
  <c r="F54" i="4"/>
  <c r="BR48" i="4"/>
  <c r="BS52" i="4"/>
  <c r="BR52" i="4"/>
  <c r="BO52" i="4"/>
  <c r="BP52" i="4"/>
  <c r="K52" i="4"/>
  <c r="BQ52" i="4" s="1"/>
  <c r="BO26" i="4"/>
  <c r="BO30" i="4"/>
  <c r="BO34" i="4"/>
  <c r="BF60" i="4"/>
  <c r="BF43" i="4"/>
  <c r="K70" i="4"/>
  <c r="BE70" i="4" s="1"/>
  <c r="BO70" i="4" s="1"/>
  <c r="BP70" i="4" s="1"/>
  <c r="BQ70" i="4" s="1"/>
  <c r="G73" i="4"/>
  <c r="K73" i="4" s="1"/>
  <c r="BF73" i="4" s="1"/>
  <c r="BO73" i="4" s="1"/>
  <c r="BP73" i="4" s="1"/>
  <c r="BQ73" i="4" s="1"/>
  <c r="G74" i="4"/>
  <c r="K74" i="4" s="1"/>
  <c r="BF74" i="4" s="1"/>
  <c r="BO74" i="4" s="1"/>
  <c r="BP74" i="4" s="1"/>
  <c r="BQ74" i="4" s="1"/>
  <c r="G72" i="4"/>
  <c r="K72" i="4" s="1"/>
  <c r="BF72" i="4" s="1"/>
  <c r="BO72" i="4" s="1"/>
  <c r="BP72" i="4" s="1"/>
  <c r="BQ72" i="4" s="1"/>
  <c r="G71" i="4"/>
  <c r="K71" i="4" s="1"/>
  <c r="BG71" i="4" s="1"/>
  <c r="BD27" i="4"/>
  <c r="BD26" i="4"/>
  <c r="K47" i="4"/>
  <c r="BE47" i="4" s="1"/>
  <c r="BC7" i="4"/>
  <c r="BO7" i="4" s="1"/>
  <c r="BO9" i="4"/>
  <c r="BB9" i="4"/>
  <c r="BB12" i="4"/>
  <c r="BB13" i="4"/>
  <c r="K10" i="4"/>
  <c r="AZ10" i="4" s="1"/>
  <c r="K35" i="4"/>
  <c r="AV35" i="4" s="1"/>
  <c r="K69" i="4"/>
  <c r="BC69" i="4" s="1"/>
  <c r="BO69" i="4" s="1"/>
  <c r="BP69" i="4" s="1"/>
  <c r="K51" i="4"/>
  <c r="BD51" i="4" s="1"/>
  <c r="G50" i="4"/>
  <c r="F50" i="4"/>
  <c r="K49" i="4"/>
  <c r="BD49" i="4" s="1"/>
  <c r="K48" i="4"/>
  <c r="BD48" i="4" s="1"/>
  <c r="K40" i="4"/>
  <c r="AZ40" i="4" s="1"/>
  <c r="CG64" i="4"/>
  <c r="CH64" i="4" s="1"/>
  <c r="K46" i="4"/>
  <c r="BC46" i="4" s="1"/>
  <c r="G75" i="4"/>
  <c r="BO29" i="4"/>
  <c r="BO13" i="4"/>
  <c r="BO12" i="4"/>
  <c r="BN68" i="4"/>
  <c r="BO68" i="4" s="1"/>
  <c r="BC27" i="4"/>
  <c r="BO27" i="4" s="1"/>
  <c r="BC26" i="4"/>
  <c r="BN19" i="4"/>
  <c r="BO19" i="4" s="1"/>
  <c r="BN18" i="4"/>
  <c r="BO18" i="4" s="1"/>
  <c r="BN17" i="4"/>
  <c r="BO17" i="4" s="1"/>
  <c r="BN16" i="4"/>
  <c r="BO16" i="4" s="1"/>
  <c r="BN15" i="4"/>
  <c r="BO15" i="4" s="1"/>
  <c r="BO14" i="4"/>
  <c r="K59" i="4"/>
  <c r="AX59" i="4" s="1"/>
  <c r="G12" i="6"/>
  <c r="D38" i="5"/>
  <c r="AO13" i="4"/>
  <c r="K13" i="4"/>
  <c r="BA27" i="4"/>
  <c r="BA26" i="4"/>
  <c r="BA25" i="4"/>
  <c r="AO10" i="4"/>
  <c r="BA7" i="4"/>
  <c r="AZ7" i="4"/>
  <c r="F62" i="4"/>
  <c r="F17" i="5"/>
  <c r="D17" i="5"/>
  <c r="F11" i="5"/>
  <c r="D11" i="5"/>
  <c r="AO67" i="4"/>
  <c r="K68" i="4"/>
  <c r="H50" i="5"/>
  <c r="H45" i="5"/>
  <c r="H44" i="5"/>
  <c r="BB30" i="4"/>
  <c r="BB29" i="4"/>
  <c r="AP7" i="4"/>
  <c r="AQ7" i="4"/>
  <c r="AR7" i="4"/>
  <c r="AS7" i="4"/>
  <c r="AT7" i="4"/>
  <c r="AU7" i="4"/>
  <c r="AV7" i="4"/>
  <c r="AW7" i="4"/>
  <c r="AX7" i="4"/>
  <c r="AY7" i="4"/>
  <c r="BG10" i="1"/>
  <c r="AO66" i="4"/>
  <c r="AO75" i="4" s="1"/>
  <c r="AO45" i="4"/>
  <c r="AO44" i="4"/>
  <c r="AO43" i="4"/>
  <c r="AO42" i="4"/>
  <c r="AO41" i="4"/>
  <c r="AO40" i="4"/>
  <c r="AO39" i="4"/>
  <c r="AO38" i="4"/>
  <c r="AO37" i="4"/>
  <c r="AO36" i="4"/>
  <c r="AO35" i="4"/>
  <c r="AO20" i="4"/>
  <c r="AO15" i="4"/>
  <c r="AO19" i="4"/>
  <c r="AO18" i="4"/>
  <c r="AO17" i="4"/>
  <c r="AO16" i="4"/>
  <c r="AO14" i="4"/>
  <c r="AO12" i="4"/>
  <c r="AO11" i="4"/>
  <c r="AO9" i="4"/>
  <c r="AG1" i="4"/>
  <c r="P7" i="4"/>
  <c r="H7" i="4"/>
  <c r="O7" i="4" s="1"/>
  <c r="H75" i="4"/>
  <c r="K67" i="4"/>
  <c r="BA67" i="4" s="1"/>
  <c r="AB66" i="4"/>
  <c r="F66" i="4"/>
  <c r="F75" i="4" s="1"/>
  <c r="H62" i="4"/>
  <c r="G60" i="4"/>
  <c r="K60" i="4" s="1"/>
  <c r="BC60" i="4" s="1"/>
  <c r="AB59" i="4"/>
  <c r="AN55" i="4"/>
  <c r="H54" i="4"/>
  <c r="K45" i="4"/>
  <c r="BD45" i="4" s="1"/>
  <c r="K44" i="4"/>
  <c r="BA44" i="4" s="1"/>
  <c r="K43" i="4"/>
  <c r="BD43" i="4" s="1"/>
  <c r="G42" i="4"/>
  <c r="F42" i="4"/>
  <c r="G41" i="4"/>
  <c r="F41" i="4"/>
  <c r="K39" i="4"/>
  <c r="AY39" i="4" s="1"/>
  <c r="K38" i="4"/>
  <c r="AS38" i="4" s="1"/>
  <c r="K37" i="4"/>
  <c r="AS37" i="4" s="1"/>
  <c r="K36" i="4"/>
  <c r="AY36" i="4" s="1"/>
  <c r="AQ34" i="4"/>
  <c r="BB34" i="4" s="1"/>
  <c r="AB34" i="4"/>
  <c r="K34" i="4"/>
  <c r="AB33" i="4"/>
  <c r="K33" i="4"/>
  <c r="AS33" i="4" s="1"/>
  <c r="AB32" i="4"/>
  <c r="K32" i="4"/>
  <c r="AT32" i="4" s="1"/>
  <c r="AB31" i="4"/>
  <c r="K31" i="4"/>
  <c r="AW31" i="4" s="1"/>
  <c r="F30" i="4"/>
  <c r="K29" i="4"/>
  <c r="AB28" i="4"/>
  <c r="F28" i="4"/>
  <c r="G28" i="4" s="1"/>
  <c r="K28" i="4" s="1"/>
  <c r="AZ28" i="4" s="1"/>
  <c r="AZ27" i="4"/>
  <c r="AY27" i="4"/>
  <c r="AX27" i="4"/>
  <c r="AW27" i="4"/>
  <c r="AV27" i="4"/>
  <c r="AU27" i="4"/>
  <c r="AT27" i="4"/>
  <c r="AS27" i="4"/>
  <c r="AR27" i="4"/>
  <c r="AQ27" i="4"/>
  <c r="AP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A27" i="4"/>
  <c r="Z27" i="4"/>
  <c r="K27" i="4"/>
  <c r="AZ26" i="4"/>
  <c r="AY26" i="4"/>
  <c r="AX26" i="4"/>
  <c r="AW26" i="4"/>
  <c r="AV26" i="4"/>
  <c r="AU26" i="4"/>
  <c r="AT26" i="4"/>
  <c r="AS26" i="4"/>
  <c r="AR26" i="4"/>
  <c r="AQ26" i="4"/>
  <c r="AP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A26" i="4"/>
  <c r="Z26" i="4"/>
  <c r="Y26" i="4"/>
  <c r="X26" i="4"/>
  <c r="W26" i="4"/>
  <c r="O26" i="4"/>
  <c r="K26" i="4"/>
  <c r="AZ25" i="4"/>
  <c r="AY25" i="4"/>
  <c r="AX25" i="4"/>
  <c r="AW25" i="4"/>
  <c r="AV25" i="4"/>
  <c r="AU25" i="4"/>
  <c r="AT25" i="4"/>
  <c r="AS25" i="4"/>
  <c r="AR25" i="4"/>
  <c r="AQ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A25" i="4"/>
  <c r="Z25" i="4"/>
  <c r="Y25" i="4"/>
  <c r="X25" i="4"/>
  <c r="W25" i="4"/>
  <c r="V25" i="4"/>
  <c r="U25" i="4"/>
  <c r="T25" i="4"/>
  <c r="S25" i="4"/>
  <c r="R25" i="4"/>
  <c r="Q25" i="4"/>
  <c r="P25" i="4"/>
  <c r="K25" i="4"/>
  <c r="AP25" i="4" s="1"/>
  <c r="H25" i="4"/>
  <c r="O25" i="4" s="1"/>
  <c r="K20" i="4"/>
  <c r="BA20" i="4" s="1"/>
  <c r="BB20" i="4" s="1"/>
  <c r="F15" i="4"/>
  <c r="K15" i="4" s="1"/>
  <c r="BA15" i="4" s="1"/>
  <c r="BB15" i="4" s="1"/>
  <c r="G19" i="4"/>
  <c r="K19" i="4" s="1"/>
  <c r="BA19" i="4" s="1"/>
  <c r="BB19" i="4" s="1"/>
  <c r="G18" i="4"/>
  <c r="K18" i="4" s="1"/>
  <c r="BA18" i="4" s="1"/>
  <c r="BB18" i="4" s="1"/>
  <c r="G17" i="4"/>
  <c r="K17" i="4" s="1"/>
  <c r="BA17" i="4" s="1"/>
  <c r="BB17" i="4" s="1"/>
  <c r="G16" i="4"/>
  <c r="K16" i="4" s="1"/>
  <c r="BA16" i="4" s="1"/>
  <c r="BB16" i="4" s="1"/>
  <c r="K14" i="4"/>
  <c r="BA14" i="4" s="1"/>
  <c r="BB14" i="4" s="1"/>
  <c r="K12" i="4"/>
  <c r="K11" i="4"/>
  <c r="AZ11" i="4" s="1"/>
  <c r="O9" i="4"/>
  <c r="AB9" i="4" s="1"/>
  <c r="K9" i="4"/>
  <c r="O8" i="4"/>
  <c r="AB8" i="4" s="1"/>
  <c r="F8" i="4"/>
  <c r="G8" i="4" s="1"/>
  <c r="AN7" i="4"/>
  <c r="AM7" i="4"/>
  <c r="AL7" i="4"/>
  <c r="AK7" i="4"/>
  <c r="AJ7" i="4"/>
  <c r="AI7" i="4"/>
  <c r="AH7" i="4"/>
  <c r="AG7" i="4"/>
  <c r="AF7" i="4"/>
  <c r="AE7" i="4"/>
  <c r="AD7" i="4"/>
  <c r="AC7" i="4"/>
  <c r="AA7" i="4"/>
  <c r="Z7" i="4"/>
  <c r="Y7" i="4"/>
  <c r="X7" i="4"/>
  <c r="W7" i="4"/>
  <c r="V7" i="4"/>
  <c r="U7" i="4"/>
  <c r="T7" i="4"/>
  <c r="S7" i="4"/>
  <c r="R7" i="4"/>
  <c r="Q7" i="4"/>
  <c r="K7" i="4"/>
  <c r="BU21" i="1"/>
  <c r="BT21" i="1"/>
  <c r="BS21" i="1"/>
  <c r="BR21" i="1"/>
  <c r="K21" i="1"/>
  <c r="BR48" i="1"/>
  <c r="K48" i="1"/>
  <c r="BS13" i="1"/>
  <c r="BT13" i="1" s="1"/>
  <c r="F20" i="1"/>
  <c r="K20" i="1" s="1"/>
  <c r="BR20" i="1" s="1"/>
  <c r="BS20" i="1" s="1"/>
  <c r="BT20" i="1" s="1"/>
  <c r="BU20" i="1" s="1"/>
  <c r="AR66" i="1"/>
  <c r="K66" i="1"/>
  <c r="P66" i="1" s="1"/>
  <c r="F65" i="1"/>
  <c r="K65" i="1" s="1"/>
  <c r="P65" i="1" s="1"/>
  <c r="F31" i="1"/>
  <c r="G31" i="1" s="1"/>
  <c r="G15" i="1"/>
  <c r="G16" i="1"/>
  <c r="G17" i="1"/>
  <c r="G14" i="1"/>
  <c r="K13" i="1"/>
  <c r="AD13" i="1" s="1"/>
  <c r="K46" i="1"/>
  <c r="AD46" i="1" s="1"/>
  <c r="K47" i="1"/>
  <c r="AD47" i="1" s="1"/>
  <c r="H67" i="1"/>
  <c r="G67" i="1"/>
  <c r="AC65" i="1"/>
  <c r="G56" i="1"/>
  <c r="K56" i="1" s="1"/>
  <c r="BR56" i="1" s="1"/>
  <c r="K55" i="1"/>
  <c r="BG49" i="4" l="1"/>
  <c r="BF44" i="4"/>
  <c r="BF45" i="4"/>
  <c r="BG20" i="4"/>
  <c r="BG21" i="4" s="1"/>
  <c r="BF47" i="4"/>
  <c r="BG32" i="4"/>
  <c r="BG51" i="4"/>
  <c r="BF32" i="4"/>
  <c r="BF59" i="4"/>
  <c r="BG40" i="4"/>
  <c r="BF36" i="4"/>
  <c r="BF38" i="4"/>
  <c r="BF39" i="4"/>
  <c r="BF48" i="4"/>
  <c r="BG36" i="4"/>
  <c r="BG44" i="4"/>
  <c r="BG59" i="4"/>
  <c r="BF37" i="4"/>
  <c r="BF67" i="4"/>
  <c r="BG43" i="4"/>
  <c r="BF40" i="4"/>
  <c r="BF49" i="4"/>
  <c r="BG37" i="4"/>
  <c r="BG45" i="4"/>
  <c r="BG60" i="4"/>
  <c r="BG38" i="4"/>
  <c r="BG47" i="4"/>
  <c r="BF62" i="4"/>
  <c r="BF20" i="4"/>
  <c r="BF51" i="4"/>
  <c r="BG39" i="4"/>
  <c r="BG48" i="4"/>
  <c r="BG67" i="4"/>
  <c r="BF71" i="4"/>
  <c r="BE71" i="4"/>
  <c r="BQ69" i="4"/>
  <c r="BD60" i="4"/>
  <c r="BD62" i="4" s="1"/>
  <c r="BF11" i="4"/>
  <c r="BE59" i="4"/>
  <c r="BE40" i="4"/>
  <c r="BE44" i="4"/>
  <c r="BE49" i="4"/>
  <c r="K50" i="4"/>
  <c r="BE51" i="4"/>
  <c r="BO51" i="4" s="1"/>
  <c r="BP51" i="4" s="1"/>
  <c r="BE60" i="4"/>
  <c r="BE67" i="4"/>
  <c r="BD47" i="4"/>
  <c r="BE43" i="4"/>
  <c r="BE32" i="4"/>
  <c r="BE36" i="4"/>
  <c r="BB7" i="4"/>
  <c r="BE37" i="4"/>
  <c r="BE45" i="4"/>
  <c r="BE38" i="4"/>
  <c r="BE11" i="4"/>
  <c r="BE39" i="4"/>
  <c r="BE48" i="4"/>
  <c r="BE20" i="4"/>
  <c r="BD32" i="4"/>
  <c r="BD33" i="4"/>
  <c r="BC11" i="4"/>
  <c r="BD36" i="4"/>
  <c r="BD25" i="4"/>
  <c r="BD37" i="4"/>
  <c r="BD38" i="4"/>
  <c r="BD39" i="4"/>
  <c r="BD11" i="4"/>
  <c r="BC20" i="4"/>
  <c r="BD28" i="4"/>
  <c r="BD44" i="4"/>
  <c r="BD31" i="4"/>
  <c r="BD20" i="4"/>
  <c r="BC43" i="4"/>
  <c r="BC59" i="4"/>
  <c r="BD59" i="4"/>
  <c r="BD40" i="4"/>
  <c r="BD67" i="4"/>
  <c r="BP16" i="4"/>
  <c r="BQ16" i="4" s="1"/>
  <c r="BO46" i="4"/>
  <c r="BP46" i="4" s="1"/>
  <c r="BQ46" i="4" s="1"/>
  <c r="BC67" i="4"/>
  <c r="AR59" i="4"/>
  <c r="BP13" i="4"/>
  <c r="BQ13" i="4" s="1"/>
  <c r="BP12" i="4"/>
  <c r="BQ12" i="4" s="1"/>
  <c r="BC35" i="4"/>
  <c r="BO35" i="4" s="1"/>
  <c r="BC36" i="4"/>
  <c r="BP17" i="4"/>
  <c r="BQ17" i="4" s="1"/>
  <c r="BP18" i="4"/>
  <c r="BQ18" i="4" s="1"/>
  <c r="BC39" i="4"/>
  <c r="BP19" i="4"/>
  <c r="BQ19" i="4" s="1"/>
  <c r="BC40" i="4"/>
  <c r="AT59" i="4"/>
  <c r="AV59" i="4"/>
  <c r="BC44" i="4"/>
  <c r="BP14" i="4"/>
  <c r="BQ14" i="4" s="1"/>
  <c r="BC45" i="4"/>
  <c r="BP9" i="4"/>
  <c r="BQ9" i="4" s="1"/>
  <c r="AW59" i="4"/>
  <c r="AQ32" i="4"/>
  <c r="AU37" i="4"/>
  <c r="AY59" i="4"/>
  <c r="AS59" i="4"/>
  <c r="AU59" i="4"/>
  <c r="BA59" i="4"/>
  <c r="BA60" i="4"/>
  <c r="BB60" i="4" s="1"/>
  <c r="BB25" i="4"/>
  <c r="AU32" i="4"/>
  <c r="BC25" i="4"/>
  <c r="BC31" i="4"/>
  <c r="BC33" i="4"/>
  <c r="BO33" i="4" s="1"/>
  <c r="AT36" i="4"/>
  <c r="BA32" i="4"/>
  <c r="BC38" i="4"/>
  <c r="AU36" i="4"/>
  <c r="BA35" i="4"/>
  <c r="G62" i="4"/>
  <c r="BA68" i="4"/>
  <c r="BB68" i="4" s="1"/>
  <c r="BP68" i="4" s="1"/>
  <c r="BQ68" i="4" s="1"/>
  <c r="AP31" i="4"/>
  <c r="AW35" i="4"/>
  <c r="BA36" i="4"/>
  <c r="BJ54" i="4"/>
  <c r="BM62" i="4"/>
  <c r="AQ31" i="4"/>
  <c r="AX35" i="4"/>
  <c r="BC28" i="4"/>
  <c r="BC32" i="4"/>
  <c r="BN62" i="4"/>
  <c r="BB67" i="4"/>
  <c r="AZ31" i="4"/>
  <c r="AY35" i="4"/>
  <c r="BC37" i="4"/>
  <c r="AP32" i="4"/>
  <c r="AZ35" i="4"/>
  <c r="AO7" i="4"/>
  <c r="AB27" i="4"/>
  <c r="AP28" i="4"/>
  <c r="AY28" i="4"/>
  <c r="AT33" i="4"/>
  <c r="AT37" i="4"/>
  <c r="AY38" i="4"/>
  <c r="BB44" i="4"/>
  <c r="BA10" i="4"/>
  <c r="BA38" i="4"/>
  <c r="AS28" i="4"/>
  <c r="AV37" i="4"/>
  <c r="BA43" i="4"/>
  <c r="BB43" i="4" s="1"/>
  <c r="AQ38" i="4"/>
  <c r="BB26" i="4"/>
  <c r="AU28" i="4"/>
  <c r="AR38" i="4"/>
  <c r="BA45" i="4"/>
  <c r="BB45" i="4" s="1"/>
  <c r="AV28" i="4"/>
  <c r="AR31" i="4"/>
  <c r="AQ33" i="4"/>
  <c r="AV36" i="4"/>
  <c r="AY37" i="4"/>
  <c r="AT38" i="4"/>
  <c r="AW28" i="4"/>
  <c r="AX31" i="4"/>
  <c r="AR33" i="4"/>
  <c r="AZ36" i="4"/>
  <c r="AP37" i="4"/>
  <c r="AW38" i="4"/>
  <c r="AU38" i="4"/>
  <c r="AZ59" i="4"/>
  <c r="AZ62" i="4" s="1"/>
  <c r="BA28" i="4"/>
  <c r="BA39" i="4"/>
  <c r="AQ28" i="4"/>
  <c r="AZ38" i="4"/>
  <c r="BA33" i="4"/>
  <c r="BB27" i="4"/>
  <c r="AP38" i="4"/>
  <c r="AT28" i="4"/>
  <c r="AW37" i="4"/>
  <c r="AP33" i="4"/>
  <c r="AX37" i="4"/>
  <c r="BA37" i="4"/>
  <c r="AX28" i="4"/>
  <c r="AY31" i="4"/>
  <c r="AQ37" i="4"/>
  <c r="AX38" i="4"/>
  <c r="BA31" i="4"/>
  <c r="BA40" i="4"/>
  <c r="H46" i="5"/>
  <c r="AS31" i="4"/>
  <c r="AW36" i="4"/>
  <c r="AZ39" i="4"/>
  <c r="AR32" i="4"/>
  <c r="AT35" i="4"/>
  <c r="AX40" i="4"/>
  <c r="AV31" i="4"/>
  <c r="AS32" i="4"/>
  <c r="AX36" i="4"/>
  <c r="AU35" i="4"/>
  <c r="AR37" i="4"/>
  <c r="AZ37" i="4"/>
  <c r="AY40" i="4"/>
  <c r="AQ59" i="4"/>
  <c r="AX39" i="4"/>
  <c r="AT31" i="4"/>
  <c r="AU31" i="4"/>
  <c r="AP59" i="4"/>
  <c r="AR28" i="4"/>
  <c r="AV38" i="4"/>
  <c r="AS10" i="4"/>
  <c r="AP10" i="4"/>
  <c r="AT10" i="4"/>
  <c r="AX10" i="4"/>
  <c r="AT11" i="4"/>
  <c r="AX11" i="4"/>
  <c r="AW10" i="4"/>
  <c r="AW11" i="4"/>
  <c r="AQ10" i="4"/>
  <c r="AU10" i="4"/>
  <c r="AY10" i="4"/>
  <c r="AU11" i="4"/>
  <c r="AY11" i="4"/>
  <c r="AR10" i="4"/>
  <c r="AV10" i="4"/>
  <c r="AV11" i="4"/>
  <c r="AO27" i="4"/>
  <c r="AO26" i="4"/>
  <c r="AB7" i="4"/>
  <c r="AB25" i="4"/>
  <c r="AO25" i="4"/>
  <c r="AB26" i="4"/>
  <c r="AE28" i="4"/>
  <c r="AE29" i="4"/>
  <c r="AO29" i="4" s="1"/>
  <c r="AN32" i="4"/>
  <c r="K66" i="4"/>
  <c r="AN33" i="4"/>
  <c r="AM31" i="4"/>
  <c r="AK32" i="4"/>
  <c r="AV33" i="4"/>
  <c r="K41" i="4"/>
  <c r="AW32" i="4"/>
  <c r="AI33" i="4"/>
  <c r="AY33" i="4"/>
  <c r="F21" i="4"/>
  <c r="AI31" i="4"/>
  <c r="AK33" i="4"/>
  <c r="AN31" i="4"/>
  <c r="AH32" i="4"/>
  <c r="AV32" i="4"/>
  <c r="AM33" i="4"/>
  <c r="AW33" i="4"/>
  <c r="AD34" i="4"/>
  <c r="AO34" i="4" s="1"/>
  <c r="AN75" i="4"/>
  <c r="AJ31" i="4"/>
  <c r="AL32" i="4"/>
  <c r="AZ32" i="4"/>
  <c r="AJ33" i="4"/>
  <c r="AU33" i="4"/>
  <c r="AZ33" i="4"/>
  <c r="K62" i="4"/>
  <c r="K8" i="4"/>
  <c r="G21" i="4"/>
  <c r="AH28" i="4"/>
  <c r="K42" i="4"/>
  <c r="AI28" i="4"/>
  <c r="H21" i="4"/>
  <c r="AL28" i="4"/>
  <c r="AK28" i="4"/>
  <c r="AG28" i="4"/>
  <c r="AN28" i="4"/>
  <c r="AJ28" i="4"/>
  <c r="AF28" i="4"/>
  <c r="AM28" i="4"/>
  <c r="G30" i="4"/>
  <c r="G54" i="4" s="1"/>
  <c r="AG31" i="4"/>
  <c r="AK31" i="4"/>
  <c r="AH31" i="4"/>
  <c r="AL31" i="4"/>
  <c r="AY32" i="4"/>
  <c r="AM32" i="4"/>
  <c r="AI32" i="4"/>
  <c r="AJ32" i="4"/>
  <c r="AX32" i="4"/>
  <c r="AH33" i="4"/>
  <c r="AL33" i="4"/>
  <c r="AX33" i="4"/>
  <c r="AN59" i="4"/>
  <c r="AO59" i="4" s="1"/>
  <c r="BQ48" i="1"/>
  <c r="BS48" i="1" s="1"/>
  <c r="BT48" i="1" s="1"/>
  <c r="BU48" i="1" s="1"/>
  <c r="AD48" i="1"/>
  <c r="BU13" i="1"/>
  <c r="BR46" i="1"/>
  <c r="BQ65" i="1"/>
  <c r="BQ67" i="1" s="1"/>
  <c r="BR65" i="1"/>
  <c r="F67" i="1"/>
  <c r="AD65" i="1"/>
  <c r="BQ46" i="1"/>
  <c r="BS46" i="1" s="1"/>
  <c r="BT46" i="1" s="1"/>
  <c r="BU46" i="1" s="1"/>
  <c r="BQ47" i="1"/>
  <c r="AP65" i="1"/>
  <c r="BR47" i="1"/>
  <c r="BQ56" i="1"/>
  <c r="BS56" i="1" s="1"/>
  <c r="BT56" i="1" s="1"/>
  <c r="BU56" i="1" s="1"/>
  <c r="BK65" i="1"/>
  <c r="BK67" i="1" s="1"/>
  <c r="BL65" i="1"/>
  <c r="BL67" i="1" s="1"/>
  <c r="BD65" i="1"/>
  <c r="BD67" i="1" s="1"/>
  <c r="BN65" i="1"/>
  <c r="BN67" i="1" s="1"/>
  <c r="BM65" i="1"/>
  <c r="BM67" i="1" s="1"/>
  <c r="BG65" i="1"/>
  <c r="BO65" i="1"/>
  <c r="BO67" i="1" s="1"/>
  <c r="BH65" i="1"/>
  <c r="BH67" i="1" s="1"/>
  <c r="BP65" i="1"/>
  <c r="BP67" i="1" s="1"/>
  <c r="BI65" i="1"/>
  <c r="BI67" i="1" s="1"/>
  <c r="BJ65" i="1"/>
  <c r="BJ67" i="1" s="1"/>
  <c r="K67" i="1"/>
  <c r="H49" i="1"/>
  <c r="G45" i="1"/>
  <c r="F45" i="1"/>
  <c r="K45" i="1" s="1"/>
  <c r="G44" i="1"/>
  <c r="F44" i="1"/>
  <c r="H28" i="1"/>
  <c r="H7" i="1"/>
  <c r="K43" i="1"/>
  <c r="BO43" i="1" s="1"/>
  <c r="BO12" i="1"/>
  <c r="BS12" i="1" s="1"/>
  <c r="BT12" i="1" s="1"/>
  <c r="K12" i="1"/>
  <c r="AD12" i="1" s="1"/>
  <c r="BO28" i="4" l="1"/>
  <c r="BO49" i="4"/>
  <c r="BP49" i="4" s="1"/>
  <c r="BO43" i="4"/>
  <c r="BO39" i="4"/>
  <c r="BO38" i="4"/>
  <c r="BO45" i="4"/>
  <c r="BO32" i="4"/>
  <c r="BO44" i="4"/>
  <c r="BP44" i="4" s="1"/>
  <c r="BO47" i="4"/>
  <c r="BP47" i="4" s="1"/>
  <c r="BQ47" i="4" s="1"/>
  <c r="BG62" i="4"/>
  <c r="BE66" i="4"/>
  <c r="BE75" i="4" s="1"/>
  <c r="BF66" i="4"/>
  <c r="BF75" i="4" s="1"/>
  <c r="BG66" i="4"/>
  <c r="BG75" i="4" s="1"/>
  <c r="BO36" i="4"/>
  <c r="BO40" i="4"/>
  <c r="BO20" i="4"/>
  <c r="BP20" i="4" s="1"/>
  <c r="BO31" i="4"/>
  <c r="BO48" i="4"/>
  <c r="BP48" i="4" s="1"/>
  <c r="BQ48" i="4" s="1"/>
  <c r="BO25" i="4"/>
  <c r="BO71" i="4"/>
  <c r="BP71" i="4" s="1"/>
  <c r="BQ71" i="4" s="1"/>
  <c r="BE42" i="4"/>
  <c r="BF42" i="4"/>
  <c r="BG42" i="4"/>
  <c r="BE41" i="4"/>
  <c r="BE54" i="4" s="1"/>
  <c r="BF41" i="4"/>
  <c r="BF54" i="4" s="1"/>
  <c r="BG41" i="4"/>
  <c r="BG54" i="4" s="1"/>
  <c r="BO37" i="4"/>
  <c r="BG50" i="4"/>
  <c r="BF50" i="4"/>
  <c r="BO11" i="4"/>
  <c r="BE21" i="4"/>
  <c r="BD21" i="4"/>
  <c r="BE62" i="4"/>
  <c r="BP45" i="4"/>
  <c r="BP43" i="4"/>
  <c r="BP7" i="4"/>
  <c r="BO60" i="4"/>
  <c r="BP60" i="4" s="1"/>
  <c r="BQ60" i="4" s="1"/>
  <c r="BD50" i="4"/>
  <c r="BE50" i="4"/>
  <c r="BQ49" i="4"/>
  <c r="BQ51" i="4"/>
  <c r="BB11" i="4"/>
  <c r="BB10" i="4"/>
  <c r="BO67" i="4"/>
  <c r="BP67" i="4" s="1"/>
  <c r="BC42" i="4"/>
  <c r="BD42" i="4"/>
  <c r="BC41" i="4"/>
  <c r="BD41" i="4"/>
  <c r="BC66" i="4"/>
  <c r="BC75" i="4" s="1"/>
  <c r="BD66" i="4"/>
  <c r="BD75" i="4" s="1"/>
  <c r="BO59" i="4"/>
  <c r="BC62" i="4"/>
  <c r="BP26" i="4"/>
  <c r="AQ54" i="4"/>
  <c r="BP27" i="4"/>
  <c r="BB38" i="4"/>
  <c r="BP34" i="4"/>
  <c r="BP29" i="4"/>
  <c r="BQ29" i="4" s="1"/>
  <c r="BP15" i="4"/>
  <c r="BQ15" i="4" s="1"/>
  <c r="BH54" i="4"/>
  <c r="BL54" i="4"/>
  <c r="AP54" i="4"/>
  <c r="BI54" i="4"/>
  <c r="BA62" i="4"/>
  <c r="AS54" i="4"/>
  <c r="AX54" i="4"/>
  <c r="BO10" i="4"/>
  <c r="BK54" i="4"/>
  <c r="BA8" i="4"/>
  <c r="BA21" i="4" s="1"/>
  <c r="BK21" i="4"/>
  <c r="BC8" i="4"/>
  <c r="BO8" i="4" s="1"/>
  <c r="BL21" i="4"/>
  <c r="BJ21" i="4"/>
  <c r="BI21" i="4"/>
  <c r="BH21" i="4"/>
  <c r="BN21" i="4"/>
  <c r="BF21" i="4"/>
  <c r="BM21" i="4"/>
  <c r="BB35" i="4"/>
  <c r="BP35" i="4" s="1"/>
  <c r="AP62" i="4"/>
  <c r="BB59" i="4"/>
  <c r="BN75" i="4"/>
  <c r="BB37" i="4"/>
  <c r="BB39" i="4"/>
  <c r="BN54" i="4"/>
  <c r="BB28" i="4"/>
  <c r="BB31" i="4"/>
  <c r="AZ42" i="4"/>
  <c r="BA42" i="4"/>
  <c r="AZ41" i="4"/>
  <c r="BA41" i="4"/>
  <c r="AR54" i="4"/>
  <c r="BB33" i="4"/>
  <c r="AZ66" i="4"/>
  <c r="K75" i="4"/>
  <c r="BA66" i="4"/>
  <c r="BA75" i="4" s="1"/>
  <c r="BB36" i="4"/>
  <c r="BB40" i="4"/>
  <c r="AS8" i="4"/>
  <c r="AS21" i="4" s="1"/>
  <c r="AP8" i="4"/>
  <c r="AQ8" i="4"/>
  <c r="AQ21" i="4" s="1"/>
  <c r="AZ8" i="4"/>
  <c r="AZ21" i="4" s="1"/>
  <c r="AT8" i="4"/>
  <c r="AT21" i="4" s="1"/>
  <c r="AW8" i="4"/>
  <c r="AW21" i="4" s="1"/>
  <c r="AX8" i="4"/>
  <c r="AX21" i="4" s="1"/>
  <c r="AY8" i="4"/>
  <c r="AY21" i="4" s="1"/>
  <c r="AR8" i="4"/>
  <c r="AR21" i="4" s="1"/>
  <c r="AU8" i="4"/>
  <c r="AU21" i="4" s="1"/>
  <c r="AV8" i="4"/>
  <c r="AV21" i="4" s="1"/>
  <c r="BB32" i="4"/>
  <c r="AO33" i="4"/>
  <c r="AO28" i="4"/>
  <c r="AO31" i="4"/>
  <c r="AO32" i="4"/>
  <c r="AY54" i="4"/>
  <c r="AN54" i="4"/>
  <c r="AT54" i="4"/>
  <c r="AW54" i="4"/>
  <c r="AU54" i="4"/>
  <c r="AV54" i="4"/>
  <c r="AN62" i="4"/>
  <c r="K30" i="4"/>
  <c r="AM8" i="4"/>
  <c r="AM21" i="4" s="1"/>
  <c r="AI8" i="4"/>
  <c r="AI21" i="4" s="1"/>
  <c r="AE8" i="4"/>
  <c r="AE21" i="4" s="1"/>
  <c r="AC8" i="4"/>
  <c r="AJ8" i="4"/>
  <c r="AJ21" i="4" s="1"/>
  <c r="AL8" i="4"/>
  <c r="AL21" i="4" s="1"/>
  <c r="AH8" i="4"/>
  <c r="AH21" i="4" s="1"/>
  <c r="AD8" i="4"/>
  <c r="AD21" i="4" s="1"/>
  <c r="AK8" i="4"/>
  <c r="AG8" i="4"/>
  <c r="AG21" i="4" s="1"/>
  <c r="AN8" i="4"/>
  <c r="AN21" i="4" s="1"/>
  <c r="AF8" i="4"/>
  <c r="AF21" i="4" s="1"/>
  <c r="K21" i="4"/>
  <c r="BS47" i="1"/>
  <c r="BT47" i="1" s="1"/>
  <c r="BU47" i="1" s="1"/>
  <c r="AP67" i="1"/>
  <c r="BG67" i="1"/>
  <c r="BS65" i="1"/>
  <c r="BS67" i="1" s="1"/>
  <c r="AD45" i="1"/>
  <c r="AR65" i="1"/>
  <c r="BR67" i="1"/>
  <c r="K44" i="1"/>
  <c r="AD44" i="1" s="1"/>
  <c r="BU12" i="1"/>
  <c r="K42" i="1"/>
  <c r="BO21" i="4" l="1"/>
  <c r="BP11" i="4"/>
  <c r="BQ11" i="4" s="1"/>
  <c r="BO41" i="4"/>
  <c r="BO42" i="4"/>
  <c r="BO50" i="4"/>
  <c r="BP50" i="4" s="1"/>
  <c r="BP25" i="4"/>
  <c r="K54" i="4"/>
  <c r="BO62" i="4"/>
  <c r="BD54" i="4"/>
  <c r="BP59" i="4"/>
  <c r="BP62" i="4" s="1"/>
  <c r="BQ67" i="4"/>
  <c r="BB8" i="4"/>
  <c r="BB21" i="4" s="1"/>
  <c r="AP21" i="4"/>
  <c r="BQ35" i="4"/>
  <c r="BQ43" i="4"/>
  <c r="BC54" i="4"/>
  <c r="BC21" i="4"/>
  <c r="BQ45" i="4"/>
  <c r="BQ44" i="4"/>
  <c r="BQ27" i="4"/>
  <c r="BQ26" i="4"/>
  <c r="BQ20" i="4"/>
  <c r="BQ34" i="4"/>
  <c r="BO66" i="4"/>
  <c r="BO75" i="4" s="1"/>
  <c r="BP31" i="4"/>
  <c r="BA54" i="4"/>
  <c r="BP32" i="4"/>
  <c r="BP38" i="4"/>
  <c r="BP36" i="4"/>
  <c r="BP39" i="4"/>
  <c r="BP40" i="4"/>
  <c r="BP33" i="4"/>
  <c r="AZ54" i="4"/>
  <c r="BP37" i="4"/>
  <c r="BP28" i="4"/>
  <c r="AZ75" i="4"/>
  <c r="BB66" i="4"/>
  <c r="BP10" i="4"/>
  <c r="BM75" i="4"/>
  <c r="BN55" i="4"/>
  <c r="BM54" i="4"/>
  <c r="BA55" i="4"/>
  <c r="BQ7" i="4"/>
  <c r="BB41" i="4"/>
  <c r="BB42" i="4"/>
  <c r="AO8" i="4"/>
  <c r="AE30" i="4"/>
  <c r="AO30" i="4" s="1"/>
  <c r="AK21" i="4"/>
  <c r="AO62" i="4"/>
  <c r="BB62" i="4"/>
  <c r="E24" i="6" s="1"/>
  <c r="AC21" i="4"/>
  <c r="BE65" i="1"/>
  <c r="BE67" i="1" s="1"/>
  <c r="AR67" i="1"/>
  <c r="AQ67" i="1"/>
  <c r="BT65" i="1"/>
  <c r="BQ45" i="1"/>
  <c r="BQ44" i="1"/>
  <c r="BR44" i="1"/>
  <c r="BR45" i="1"/>
  <c r="AD42" i="1"/>
  <c r="BQ42" i="1"/>
  <c r="BR42" i="1"/>
  <c r="BO42" i="1"/>
  <c r="BP42" i="1"/>
  <c r="BQ43" i="1"/>
  <c r="BR43" i="1"/>
  <c r="BP43" i="1"/>
  <c r="AD43" i="1"/>
  <c r="K41" i="1"/>
  <c r="K40" i="1"/>
  <c r="K39" i="1"/>
  <c r="K38" i="1"/>
  <c r="K11" i="1"/>
  <c r="AD11" i="1" s="1"/>
  <c r="BR11" i="1" s="1"/>
  <c r="BO54" i="4" l="1"/>
  <c r="BQ59" i="4"/>
  <c r="BQ62" i="4" s="1"/>
  <c r="BQ50" i="4"/>
  <c r="BQ40" i="4"/>
  <c r="BP66" i="4"/>
  <c r="BP75" i="4" s="1"/>
  <c r="BQ39" i="4"/>
  <c r="BQ38" i="4"/>
  <c r="BQ37" i="4"/>
  <c r="BQ36" i="4"/>
  <c r="BQ33" i="4"/>
  <c r="BQ32" i="4"/>
  <c r="BQ31" i="4"/>
  <c r="BQ28" i="4"/>
  <c r="BQ25" i="4"/>
  <c r="BQ10" i="4"/>
  <c r="BR10" i="4" s="1"/>
  <c r="BS10" i="4" s="1"/>
  <c r="BB75" i="4"/>
  <c r="BP8" i="4"/>
  <c r="BP21" i="4" s="1"/>
  <c r="BP42" i="4"/>
  <c r="BP30" i="4"/>
  <c r="BQ30" i="4" s="1"/>
  <c r="BP41" i="4"/>
  <c r="BB54" i="4"/>
  <c r="AO21" i="4"/>
  <c r="AO54" i="4"/>
  <c r="BF65" i="1"/>
  <c r="BF67" i="1" s="1"/>
  <c r="BS44" i="1"/>
  <c r="BT44" i="1" s="1"/>
  <c r="BU44" i="1" s="1"/>
  <c r="BT67" i="1"/>
  <c r="BU65" i="1"/>
  <c r="BU67" i="1" s="1"/>
  <c r="BS45" i="1"/>
  <c r="BT45" i="1" s="1"/>
  <c r="BU45" i="1" s="1"/>
  <c r="BS43" i="1"/>
  <c r="BT43" i="1" s="1"/>
  <c r="BU43" i="1" s="1"/>
  <c r="BQ40" i="1"/>
  <c r="BL40" i="1"/>
  <c r="BO38" i="1"/>
  <c r="BP41" i="1"/>
  <c r="BN40" i="1"/>
  <c r="BP39" i="1"/>
  <c r="BO40" i="1"/>
  <c r="AD40" i="1"/>
  <c r="BR40" i="1"/>
  <c r="BS42" i="1"/>
  <c r="BT42" i="1" s="1"/>
  <c r="BU42" i="1" s="1"/>
  <c r="BM41" i="1"/>
  <c r="BL41" i="1"/>
  <c r="BP40" i="1"/>
  <c r="BN41" i="1"/>
  <c r="BR41" i="1"/>
  <c r="BQ41" i="1"/>
  <c r="AD41" i="1"/>
  <c r="BM40" i="1"/>
  <c r="BO41" i="1"/>
  <c r="BK38" i="1"/>
  <c r="BK11" i="1"/>
  <c r="BO11" i="1"/>
  <c r="BL11" i="1"/>
  <c r="BP11" i="1"/>
  <c r="BM11" i="1"/>
  <c r="BQ11" i="1"/>
  <c r="BN11" i="1"/>
  <c r="BM39" i="1"/>
  <c r="BQ39" i="1"/>
  <c r="BP38" i="1"/>
  <c r="BN39" i="1"/>
  <c r="BR39" i="1"/>
  <c r="BL38" i="1"/>
  <c r="BQ38" i="1"/>
  <c r="AD38" i="1"/>
  <c r="BN38" i="1"/>
  <c r="BR38" i="1"/>
  <c r="AD39" i="1"/>
  <c r="BO39" i="1"/>
  <c r="BM38" i="1"/>
  <c r="BL39" i="1"/>
  <c r="BS32" i="1"/>
  <c r="BS33" i="1"/>
  <c r="BS37" i="1"/>
  <c r="K28" i="1"/>
  <c r="BS9" i="1"/>
  <c r="K7" i="1"/>
  <c r="BP54" i="4" l="1"/>
  <c r="BQ41" i="4"/>
  <c r="BQ54" i="4" s="1"/>
  <c r="BQ42" i="4"/>
  <c r="BB76" i="4"/>
  <c r="BQ66" i="4"/>
  <c r="BQ75" i="4" s="1"/>
  <c r="BQ8" i="4"/>
  <c r="BQ21" i="4" s="1"/>
  <c r="BK28" i="1"/>
  <c r="BO28" i="1"/>
  <c r="BJ28" i="1"/>
  <c r="BS38" i="1"/>
  <c r="BT38" i="1" s="1"/>
  <c r="BU38" i="1" s="1"/>
  <c r="BG28" i="1"/>
  <c r="BN28" i="1"/>
  <c r="BH28" i="1"/>
  <c r="BR28" i="1"/>
  <c r="BL28" i="1"/>
  <c r="BP28" i="1"/>
  <c r="BS11" i="1"/>
  <c r="BT11" i="1" s="1"/>
  <c r="BU11" i="1" s="1"/>
  <c r="AD7" i="1"/>
  <c r="BS40" i="1"/>
  <c r="BT40" i="1" s="1"/>
  <c r="BU40" i="1" s="1"/>
  <c r="BQ28" i="1"/>
  <c r="BM28" i="1"/>
  <c r="BI28" i="1"/>
  <c r="BS41" i="1"/>
  <c r="BT41" i="1" s="1"/>
  <c r="BU41" i="1" s="1"/>
  <c r="BS39" i="1"/>
  <c r="BT39" i="1" s="1"/>
  <c r="BU39" i="1" s="1"/>
  <c r="AQ10" i="1"/>
  <c r="BD7" i="1"/>
  <c r="BC7" i="1"/>
  <c r="BB7" i="1"/>
  <c r="BA7" i="1"/>
  <c r="AZ7" i="1"/>
  <c r="AY7" i="1"/>
  <c r="AX7" i="1"/>
  <c r="AW7" i="1"/>
  <c r="AV7" i="1"/>
  <c r="AU7" i="1"/>
  <c r="AT7" i="1"/>
  <c r="AF7" i="1"/>
  <c r="AE7" i="1"/>
  <c r="AP7" i="1"/>
  <c r="AO7" i="1"/>
  <c r="AN7" i="1"/>
  <c r="AM7" i="1"/>
  <c r="AL7" i="1"/>
  <c r="AK7" i="1"/>
  <c r="AJ7" i="1"/>
  <c r="AI7" i="1"/>
  <c r="AH7" i="1"/>
  <c r="AG7" i="1"/>
  <c r="AS7" i="1"/>
  <c r="AT37" i="1"/>
  <c r="AU33" i="1"/>
  <c r="AU32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K10" i="1"/>
  <c r="F33" i="1"/>
  <c r="G33" i="1" s="1"/>
  <c r="K33" i="1" s="1"/>
  <c r="K32" i="1"/>
  <c r="BQ77" i="4" l="1"/>
  <c r="BQ79" i="4" s="1"/>
  <c r="F49" i="1"/>
  <c r="AS49" i="1"/>
  <c r="AT49" i="1"/>
  <c r="BS28" i="1"/>
  <c r="BQ7" i="1"/>
  <c r="BM7" i="1"/>
  <c r="BI7" i="1"/>
  <c r="BP7" i="1"/>
  <c r="BL7" i="1"/>
  <c r="BH7" i="1"/>
  <c r="BO7" i="1"/>
  <c r="BK7" i="1"/>
  <c r="BG7" i="1"/>
  <c r="BR7" i="1"/>
  <c r="BN7" i="1"/>
  <c r="BJ7" i="1"/>
  <c r="P33" i="1"/>
  <c r="AG33" i="1" s="1"/>
  <c r="AQ33" i="1"/>
  <c r="BT33" i="1" s="1"/>
  <c r="BU33" i="1" s="1"/>
  <c r="P32" i="1"/>
  <c r="AG32" i="1" s="1"/>
  <c r="AQ32" i="1"/>
  <c r="BT32" i="1" s="1"/>
  <c r="BU32" i="1" s="1"/>
  <c r="AD10" i="1"/>
  <c r="G49" i="1"/>
  <c r="Q7" i="1"/>
  <c r="Q28" i="1"/>
  <c r="AC55" i="1"/>
  <c r="AJ28" i="1"/>
  <c r="AN30" i="1"/>
  <c r="AM30" i="1"/>
  <c r="AL30" i="1"/>
  <c r="AK30" i="1"/>
  <c r="AJ30" i="1"/>
  <c r="AI30" i="1"/>
  <c r="AH30" i="1"/>
  <c r="AG30" i="1"/>
  <c r="AF30" i="1"/>
  <c r="AE30" i="1"/>
  <c r="AK29" i="1"/>
  <c r="AJ29" i="1"/>
  <c r="AI29" i="1"/>
  <c r="AH29" i="1"/>
  <c r="AG29" i="1"/>
  <c r="AF29" i="1"/>
  <c r="AE29" i="1"/>
  <c r="AP30" i="1"/>
  <c r="AO30" i="1"/>
  <c r="AP29" i="1"/>
  <c r="AO29" i="1"/>
  <c r="AN29" i="1"/>
  <c r="AM29" i="1"/>
  <c r="AL29" i="1"/>
  <c r="AP28" i="1"/>
  <c r="AO28" i="1"/>
  <c r="AN28" i="1"/>
  <c r="AM28" i="1"/>
  <c r="AL28" i="1"/>
  <c r="AK28" i="1"/>
  <c r="AI28" i="1"/>
  <c r="AH28" i="1"/>
  <c r="AG28" i="1"/>
  <c r="AF28" i="1"/>
  <c r="AE28" i="1"/>
  <c r="AB30" i="1"/>
  <c r="AA30" i="1"/>
  <c r="AB29" i="1"/>
  <c r="AA29" i="1"/>
  <c r="Z29" i="1"/>
  <c r="Y29" i="1"/>
  <c r="X29" i="1"/>
  <c r="AC37" i="1"/>
  <c r="AC36" i="1"/>
  <c r="AC35" i="1"/>
  <c r="AC34" i="1"/>
  <c r="AC31" i="1"/>
  <c r="O29" i="1"/>
  <c r="AB28" i="1"/>
  <c r="AA28" i="1"/>
  <c r="Z28" i="1"/>
  <c r="Y28" i="1"/>
  <c r="X28" i="1"/>
  <c r="W28" i="1"/>
  <c r="V28" i="1"/>
  <c r="U28" i="1"/>
  <c r="T28" i="1"/>
  <c r="S28" i="1"/>
  <c r="R28" i="1"/>
  <c r="K29" i="1"/>
  <c r="K30" i="1"/>
  <c r="AB7" i="1"/>
  <c r="AA7" i="1"/>
  <c r="Z7" i="1"/>
  <c r="Y7" i="1"/>
  <c r="X7" i="1"/>
  <c r="W7" i="1"/>
  <c r="V7" i="1"/>
  <c r="U7" i="1"/>
  <c r="T7" i="1"/>
  <c r="S7" i="1"/>
  <c r="R7" i="1"/>
  <c r="O8" i="1"/>
  <c r="AC8" i="1" s="1"/>
  <c r="F8" i="1"/>
  <c r="F22" i="1" s="1"/>
  <c r="O9" i="1"/>
  <c r="AC9" i="1" s="1"/>
  <c r="K9" i="1"/>
  <c r="H58" i="1"/>
  <c r="G58" i="1"/>
  <c r="F58" i="1"/>
  <c r="K37" i="1"/>
  <c r="K31" i="1" l="1"/>
  <c r="BJ31" i="1" s="1"/>
  <c r="K58" i="1"/>
  <c r="BO55" i="1"/>
  <c r="BO58" i="1" s="1"/>
  <c r="BK55" i="1"/>
  <c r="BK58" i="1" s="1"/>
  <c r="BG55" i="1"/>
  <c r="BR55" i="1"/>
  <c r="BR58" i="1" s="1"/>
  <c r="BN55" i="1"/>
  <c r="BN58" i="1" s="1"/>
  <c r="BJ55" i="1"/>
  <c r="BJ58" i="1" s="1"/>
  <c r="BQ55" i="1"/>
  <c r="BQ58" i="1" s="1"/>
  <c r="BM55" i="1"/>
  <c r="BM58" i="1" s="1"/>
  <c r="BI55" i="1"/>
  <c r="BI58" i="1" s="1"/>
  <c r="BP55" i="1"/>
  <c r="BP58" i="1" s="1"/>
  <c r="BL55" i="1"/>
  <c r="BL58" i="1" s="1"/>
  <c r="BH55" i="1"/>
  <c r="BH58" i="1" s="1"/>
  <c r="BD55" i="1"/>
  <c r="BD58" i="1" s="1"/>
  <c r="BS7" i="1"/>
  <c r="F50" i="1"/>
  <c r="P37" i="1"/>
  <c r="P30" i="1"/>
  <c r="BK30" i="1"/>
  <c r="BO30" i="1"/>
  <c r="BG30" i="1"/>
  <c r="BI30" i="1"/>
  <c r="BQ30" i="1"/>
  <c r="BN30" i="1"/>
  <c r="BH30" i="1"/>
  <c r="BL30" i="1"/>
  <c r="BP30" i="1"/>
  <c r="BM30" i="1"/>
  <c r="BJ30" i="1"/>
  <c r="BR30" i="1"/>
  <c r="P29" i="1"/>
  <c r="BJ29" i="1"/>
  <c r="BN29" i="1"/>
  <c r="BR29" i="1"/>
  <c r="BH29" i="1"/>
  <c r="BL29" i="1"/>
  <c r="BI29" i="1"/>
  <c r="BM29" i="1"/>
  <c r="BQ29" i="1"/>
  <c r="BK29" i="1"/>
  <c r="BO29" i="1"/>
  <c r="BG29" i="1"/>
  <c r="BP29" i="1"/>
  <c r="BR10" i="1"/>
  <c r="BK10" i="1"/>
  <c r="BO10" i="1"/>
  <c r="AR10" i="1"/>
  <c r="AS10" i="1" s="1"/>
  <c r="BE10" i="1" s="1"/>
  <c r="BF10" i="1" s="1"/>
  <c r="BH10" i="1"/>
  <c r="BL10" i="1"/>
  <c r="BP10" i="1"/>
  <c r="BI10" i="1"/>
  <c r="BM10" i="1"/>
  <c r="BQ10" i="1"/>
  <c r="BJ10" i="1"/>
  <c r="BN10" i="1"/>
  <c r="G8" i="1"/>
  <c r="O7" i="1"/>
  <c r="AC7" i="1" s="1"/>
  <c r="AQ7" i="1" s="1"/>
  <c r="BE7" i="1" s="1"/>
  <c r="AD9" i="1"/>
  <c r="AF37" i="1"/>
  <c r="AC29" i="1"/>
  <c r="AD29" i="1" s="1"/>
  <c r="AD55" i="1"/>
  <c r="AD37" i="1"/>
  <c r="AP55" i="1"/>
  <c r="AP58" i="1" s="1"/>
  <c r="O28" i="1"/>
  <c r="AC28" i="1" s="1"/>
  <c r="AC30" i="1"/>
  <c r="AD30" i="1" s="1"/>
  <c r="P55" i="1"/>
  <c r="AL31" i="1" l="1"/>
  <c r="P31" i="1"/>
  <c r="G22" i="1"/>
  <c r="F23" i="1" s="1"/>
  <c r="AK31" i="1"/>
  <c r="BK31" i="1"/>
  <c r="AN31" i="1"/>
  <c r="AY31" i="1"/>
  <c r="AW31" i="1"/>
  <c r="BL31" i="1"/>
  <c r="AH31" i="1"/>
  <c r="BQ31" i="1"/>
  <c r="AO31" i="1"/>
  <c r="AI31" i="1"/>
  <c r="AD31" i="1"/>
  <c r="BC31" i="1"/>
  <c r="BA31" i="1"/>
  <c r="BM31" i="1"/>
  <c r="BH31" i="1"/>
  <c r="BR31" i="1"/>
  <c r="BD31" i="1"/>
  <c r="AV31" i="1"/>
  <c r="AV49" i="1" s="1"/>
  <c r="AX31" i="1"/>
  <c r="BI31" i="1"/>
  <c r="BG31" i="1"/>
  <c r="BN31" i="1"/>
  <c r="AJ31" i="1"/>
  <c r="AM31" i="1"/>
  <c r="AU31" i="1"/>
  <c r="AU49" i="1" s="1"/>
  <c r="AZ31" i="1"/>
  <c r="BB31" i="1"/>
  <c r="BP31" i="1"/>
  <c r="BO31" i="1"/>
  <c r="BS55" i="1"/>
  <c r="BS58" i="1" s="1"/>
  <c r="BG58" i="1"/>
  <c r="AM9" i="1"/>
  <c r="AQ9" i="1" s="1"/>
  <c r="BT9" i="1" s="1"/>
  <c r="BU9" i="1" s="1"/>
  <c r="BT7" i="1"/>
  <c r="BU7" i="1" s="1"/>
  <c r="BS29" i="1"/>
  <c r="BS30" i="1"/>
  <c r="BS10" i="1"/>
  <c r="K8" i="1"/>
  <c r="K22" i="1" s="1"/>
  <c r="AG31" i="1"/>
  <c r="AP31" i="1"/>
  <c r="AQ29" i="1"/>
  <c r="BT29" i="1" s="1"/>
  <c r="AQ37" i="1"/>
  <c r="AR37" i="1" s="1"/>
  <c r="P28" i="1"/>
  <c r="AQ30" i="1"/>
  <c r="AQ55" i="1"/>
  <c r="AD28" i="1"/>
  <c r="AQ28" i="1"/>
  <c r="BS31" i="1" l="1"/>
  <c r="AR9" i="1"/>
  <c r="BA9" i="1" s="1"/>
  <c r="BT55" i="1"/>
  <c r="BT58" i="1" s="1"/>
  <c r="BE55" i="1"/>
  <c r="BB8" i="1"/>
  <c r="BB22" i="1" s="1"/>
  <c r="AX8" i="1"/>
  <c r="AX22" i="1" s="1"/>
  <c r="AT8" i="1"/>
  <c r="AT22" i="1" s="1"/>
  <c r="BA8" i="1"/>
  <c r="AW8" i="1"/>
  <c r="AW22" i="1" s="1"/>
  <c r="AS8" i="1"/>
  <c r="AS22" i="1" s="1"/>
  <c r="BD8" i="1"/>
  <c r="BD22" i="1" s="1"/>
  <c r="AZ8" i="1"/>
  <c r="AZ22" i="1" s="1"/>
  <c r="AV8" i="1"/>
  <c r="AV22" i="1" s="1"/>
  <c r="BC8" i="1"/>
  <c r="BC22" i="1" s="1"/>
  <c r="AY8" i="1"/>
  <c r="AY22" i="1" s="1"/>
  <c r="AU8" i="1"/>
  <c r="AU22" i="1" s="1"/>
  <c r="AE8" i="1"/>
  <c r="AQ31" i="1"/>
  <c r="AR31" i="1" s="1"/>
  <c r="BE29" i="1"/>
  <c r="AR29" i="1"/>
  <c r="BT28" i="1"/>
  <c r="AR28" i="1"/>
  <c r="BE28" i="1"/>
  <c r="BU29" i="1"/>
  <c r="BT30" i="1"/>
  <c r="BU30" i="1" s="1"/>
  <c r="BE30" i="1"/>
  <c r="AR30" i="1"/>
  <c r="BE37" i="1"/>
  <c r="BF37" i="1" s="1"/>
  <c r="BT37" i="1"/>
  <c r="BU37" i="1" s="1"/>
  <c r="BT10" i="1"/>
  <c r="AK8" i="1"/>
  <c r="AK22" i="1" s="1"/>
  <c r="AH8" i="1"/>
  <c r="AH22" i="1" s="1"/>
  <c r="AD8" i="1"/>
  <c r="AD22" i="1" s="1"/>
  <c r="AJ8" i="1"/>
  <c r="AJ22" i="1" s="1"/>
  <c r="AO8" i="1"/>
  <c r="AO22" i="1" s="1"/>
  <c r="AL8" i="1"/>
  <c r="AL22" i="1" s="1"/>
  <c r="AF8" i="1"/>
  <c r="AF22" i="1" s="1"/>
  <c r="AP8" i="1"/>
  <c r="AP22" i="1" s="1"/>
  <c r="AI8" i="1"/>
  <c r="AI22" i="1" s="1"/>
  <c r="P8" i="1"/>
  <c r="AN8" i="1"/>
  <c r="AN22" i="1" s="1"/>
  <c r="AG8" i="1"/>
  <c r="AG22" i="1" s="1"/>
  <c r="AM8" i="1"/>
  <c r="AM22" i="1" s="1"/>
  <c r="AR55" i="1"/>
  <c r="AR58" i="1" s="1"/>
  <c r="AQ58" i="1"/>
  <c r="K36" i="1"/>
  <c r="K16" i="3"/>
  <c r="K17" i="3"/>
  <c r="K35" i="1"/>
  <c r="K34" i="1"/>
  <c r="L15" i="3"/>
  <c r="K49" i="1" l="1"/>
  <c r="BU28" i="1"/>
  <c r="BE31" i="1"/>
  <c r="BF31" i="1" s="1"/>
  <c r="BF28" i="1"/>
  <c r="BA22" i="1"/>
  <c r="BD23" i="1" s="1"/>
  <c r="BT31" i="1"/>
  <c r="BU31" i="1" s="1"/>
  <c r="BF29" i="1"/>
  <c r="BF55" i="1"/>
  <c r="BF58" i="1" s="1"/>
  <c r="BE58" i="1"/>
  <c r="BK8" i="1"/>
  <c r="BK22" i="1" s="1"/>
  <c r="BO8" i="1"/>
  <c r="BO22" i="1" s="1"/>
  <c r="BG8" i="1"/>
  <c r="BG22" i="1" s="1"/>
  <c r="BH8" i="1"/>
  <c r="BH22" i="1" s="1"/>
  <c r="BL8" i="1"/>
  <c r="BL22" i="1" s="1"/>
  <c r="BP8" i="1"/>
  <c r="BP22" i="1" s="1"/>
  <c r="BI8" i="1"/>
  <c r="BI22" i="1" s="1"/>
  <c r="BM8" i="1"/>
  <c r="BM22" i="1" s="1"/>
  <c r="BQ8" i="1"/>
  <c r="BQ22" i="1" s="1"/>
  <c r="BJ8" i="1"/>
  <c r="BJ22" i="1" s="1"/>
  <c r="BN8" i="1"/>
  <c r="BN22" i="1" s="1"/>
  <c r="BR8" i="1"/>
  <c r="BR22" i="1" s="1"/>
  <c r="BU55" i="1"/>
  <c r="BU58" i="1" s="1"/>
  <c r="BF30" i="1"/>
  <c r="BI34" i="1"/>
  <c r="BM34" i="1"/>
  <c r="BQ34" i="1"/>
  <c r="BO34" i="1"/>
  <c r="BG34" i="1"/>
  <c r="BH34" i="1"/>
  <c r="BP34" i="1"/>
  <c r="BJ34" i="1"/>
  <c r="BN34" i="1"/>
  <c r="BR34" i="1"/>
  <c r="BK34" i="1"/>
  <c r="BL34" i="1"/>
  <c r="BD34" i="1"/>
  <c r="AZ34" i="1"/>
  <c r="BB34" i="1"/>
  <c r="AX34" i="1"/>
  <c r="BA34" i="1"/>
  <c r="AW34" i="1"/>
  <c r="AW49" i="1" s="1"/>
  <c r="BC34" i="1"/>
  <c r="AY34" i="1"/>
  <c r="BJ35" i="1"/>
  <c r="BN35" i="1"/>
  <c r="BR35" i="1"/>
  <c r="BL35" i="1"/>
  <c r="BM35" i="1"/>
  <c r="BK35" i="1"/>
  <c r="BO35" i="1"/>
  <c r="BG35" i="1"/>
  <c r="BH35" i="1"/>
  <c r="BP35" i="1"/>
  <c r="BI35" i="1"/>
  <c r="BQ35" i="1"/>
  <c r="BA35" i="1"/>
  <c r="BC35" i="1"/>
  <c r="AY35" i="1"/>
  <c r="BB35" i="1"/>
  <c r="AX35" i="1"/>
  <c r="BD35" i="1"/>
  <c r="AZ35" i="1"/>
  <c r="BK36" i="1"/>
  <c r="BO36" i="1"/>
  <c r="BG36" i="1"/>
  <c r="BI36" i="1"/>
  <c r="BQ36" i="1"/>
  <c r="BQ49" i="1" s="1"/>
  <c r="BJ36" i="1"/>
  <c r="BR36" i="1"/>
  <c r="BH36" i="1"/>
  <c r="BL36" i="1"/>
  <c r="BP36" i="1"/>
  <c r="BM36" i="1"/>
  <c r="BN36" i="1"/>
  <c r="BB36" i="1"/>
  <c r="AX36" i="1"/>
  <c r="BD36" i="1"/>
  <c r="AZ36" i="1"/>
  <c r="BC36" i="1"/>
  <c r="AY36" i="1"/>
  <c r="BA36" i="1"/>
  <c r="BU10" i="1"/>
  <c r="AE22" i="1"/>
  <c r="AP23" i="1" s="1"/>
  <c r="AQ8" i="1"/>
  <c r="BE8" i="1" s="1"/>
  <c r="P34" i="1"/>
  <c r="AJ34" i="1"/>
  <c r="AM34" i="1"/>
  <c r="AD34" i="1"/>
  <c r="AI34" i="1"/>
  <c r="AK34" i="1"/>
  <c r="AN34" i="1"/>
  <c r="AP34" i="1"/>
  <c r="AL34" i="1"/>
  <c r="AO34" i="1"/>
  <c r="AN36" i="1"/>
  <c r="AJ36" i="1"/>
  <c r="P36" i="1"/>
  <c r="AP36" i="1"/>
  <c r="AD36" i="1"/>
  <c r="AK36" i="1"/>
  <c r="AM36" i="1"/>
  <c r="AL36" i="1"/>
  <c r="AO36" i="1"/>
  <c r="AN35" i="1"/>
  <c r="AJ35" i="1"/>
  <c r="AP35" i="1"/>
  <c r="AK35" i="1"/>
  <c r="AD35" i="1"/>
  <c r="P35" i="1"/>
  <c r="AM35" i="1"/>
  <c r="AL35" i="1"/>
  <c r="AO35" i="1"/>
  <c r="AD49" i="1" l="1"/>
  <c r="BR49" i="1"/>
  <c r="BB49" i="1"/>
  <c r="BM49" i="1"/>
  <c r="BG49" i="1"/>
  <c r="BL49" i="1"/>
  <c r="AX49" i="1"/>
  <c r="BI49" i="1"/>
  <c r="AZ49" i="1"/>
  <c r="BJ49" i="1"/>
  <c r="BK49" i="1"/>
  <c r="BC49" i="1"/>
  <c r="BP49" i="1"/>
  <c r="BO49" i="1"/>
  <c r="BA49" i="1"/>
  <c r="BN49" i="1"/>
  <c r="BH49" i="1"/>
  <c r="AP49" i="1"/>
  <c r="BD49" i="1"/>
  <c r="AY49" i="1"/>
  <c r="BS8" i="1"/>
  <c r="BE22" i="1"/>
  <c r="BS35" i="1"/>
  <c r="BS36" i="1"/>
  <c r="BS34" i="1"/>
  <c r="AR8" i="1"/>
  <c r="BF8" i="1" s="1"/>
  <c r="AQ22" i="1"/>
  <c r="AQ35" i="1"/>
  <c r="AQ34" i="1"/>
  <c r="AQ36" i="1"/>
  <c r="AR36" i="1" s="1"/>
  <c r="BS49" i="1" l="1"/>
  <c r="AR34" i="1"/>
  <c r="AQ49" i="1"/>
  <c r="BT35" i="1"/>
  <c r="BU35" i="1" s="1"/>
  <c r="BT8" i="1"/>
  <c r="BS22" i="1"/>
  <c r="AP50" i="1"/>
  <c r="BE36" i="1"/>
  <c r="BF36" i="1" s="1"/>
  <c r="BD50" i="1"/>
  <c r="AR35" i="1"/>
  <c r="BT34" i="1"/>
  <c r="BE34" i="1"/>
  <c r="BT36" i="1"/>
  <c r="BU36" i="1" s="1"/>
  <c r="BE35" i="1"/>
  <c r="D21" i="2"/>
  <c r="C21" i="2"/>
  <c r="DM22" i="1"/>
  <c r="DL22" i="1"/>
  <c r="DK22" i="1"/>
  <c r="DJ22" i="1"/>
  <c r="DI22" i="1"/>
  <c r="DH22" i="1"/>
  <c r="DG22" i="1"/>
  <c r="DF22" i="1"/>
  <c r="DE22" i="1"/>
  <c r="DD22" i="1"/>
  <c r="DC22" i="1"/>
  <c r="DB22" i="1"/>
  <c r="DA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H22" i="1"/>
  <c r="BF34" i="1" l="1"/>
  <c r="BE49" i="1"/>
  <c r="BU34" i="1"/>
  <c r="BU49" i="1" s="1"/>
  <c r="BT49" i="1"/>
  <c r="AR49" i="1"/>
  <c r="BU8" i="1"/>
  <c r="BU22" i="1" s="1"/>
  <c r="BT22" i="1"/>
  <c r="BF35" i="1"/>
  <c r="BF49" i="1" l="1"/>
  <c r="P7" i="1"/>
  <c r="AR7" i="1" l="1"/>
  <c r="AR22" i="1" s="1"/>
  <c r="BF7" i="1" l="1"/>
  <c r="BF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Martha Isabel</author>
  </authors>
  <commentList>
    <comment ref="H7" authorId="0" shapeId="0" xr:uid="{845F4B56-6CA2-48A3-94B3-2B8A244AF4F3}">
      <text>
        <r>
          <rPr>
            <b/>
            <sz val="12"/>
            <color indexed="81"/>
            <rFont val="Tahoma"/>
            <family val="2"/>
          </rPr>
          <t>USER:</t>
        </r>
        <r>
          <rPr>
            <sz val="12"/>
            <color indexed="81"/>
            <rFont val="Tahoma"/>
            <family val="2"/>
          </rPr>
          <t xml:space="preserve">
DEPRECIACION 2019</t>
        </r>
      </text>
    </comment>
    <comment ref="H28" authorId="0" shapeId="0" xr:uid="{28384178-DB3D-45C9-8600-CF33EB218854}">
      <text>
        <r>
          <rPr>
            <b/>
            <sz val="12"/>
            <color indexed="81"/>
            <rFont val="Tahoma"/>
            <family val="2"/>
          </rPr>
          <t>USER:</t>
        </r>
        <r>
          <rPr>
            <sz val="12"/>
            <color indexed="81"/>
            <rFont val="Tahoma"/>
            <family val="2"/>
          </rPr>
          <t xml:space="preserve">
DEPRECIACION 2019</t>
        </r>
      </text>
    </comment>
    <comment ref="C31" authorId="1" shapeId="0" xr:uid="{25D55BF6-F202-40EA-AB53-027DB8FFF9B6}">
      <text>
        <r>
          <rPr>
            <b/>
            <sz val="9"/>
            <color indexed="81"/>
            <rFont val="Tahoma"/>
            <family val="2"/>
          </rPr>
          <t>Martha Isabel:</t>
        </r>
        <r>
          <rPr>
            <sz val="9"/>
            <color indexed="81"/>
            <rFont val="Tahoma"/>
            <family val="2"/>
          </rPr>
          <t xml:space="preserve">
OJO DEBO ABRIR LO ACTIVOS</t>
        </r>
      </text>
    </comment>
    <comment ref="C32" authorId="1" shapeId="0" xr:uid="{81EE84B7-E68E-404D-A570-6CE0872DB28D}">
      <text>
        <r>
          <rPr>
            <b/>
            <sz val="9"/>
            <color indexed="81"/>
            <rFont val="Tahoma"/>
            <family val="2"/>
          </rPr>
          <t>Martha Isabel:</t>
        </r>
        <r>
          <rPr>
            <sz val="9"/>
            <color indexed="81"/>
            <rFont val="Tahoma"/>
            <family val="2"/>
          </rPr>
          <t xml:space="preserve">
OJO DEBO ABRIR LO ACTIVOS</t>
        </r>
      </text>
    </comment>
    <comment ref="C33" authorId="1" shapeId="0" xr:uid="{81E17BD4-51AC-4824-AE0E-4207EE5F3F1C}">
      <text>
        <r>
          <rPr>
            <b/>
            <sz val="9"/>
            <color indexed="81"/>
            <rFont val="Tahoma"/>
            <family val="2"/>
          </rPr>
          <t>Martha Isabel:</t>
        </r>
        <r>
          <rPr>
            <sz val="9"/>
            <color indexed="81"/>
            <rFont val="Tahoma"/>
            <family val="2"/>
          </rPr>
          <t xml:space="preserve">
OJO DEBO ABRIR LO ACTIVOS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Martha Isabel</author>
  </authors>
  <commentList>
    <comment ref="H7" authorId="0" shapeId="0" xr:uid="{BC6D27C8-BA5B-4E22-AB2C-ACE2635E1B16}">
      <text>
        <r>
          <rPr>
            <b/>
            <sz val="12"/>
            <color indexed="81"/>
            <rFont val="Tahoma"/>
            <family val="2"/>
          </rPr>
          <t>USER:</t>
        </r>
        <r>
          <rPr>
            <sz val="12"/>
            <color indexed="81"/>
            <rFont val="Tahoma"/>
            <family val="2"/>
          </rPr>
          <t xml:space="preserve">
DEPRECIACION 2019</t>
        </r>
      </text>
    </comment>
    <comment ref="H25" authorId="0" shapeId="0" xr:uid="{37E4DBDB-7B65-47F2-A8E7-21083D43908A}">
      <text>
        <r>
          <rPr>
            <b/>
            <sz val="12"/>
            <color indexed="81"/>
            <rFont val="Tahoma"/>
            <family val="2"/>
          </rPr>
          <t>USER:</t>
        </r>
        <r>
          <rPr>
            <sz val="12"/>
            <color indexed="81"/>
            <rFont val="Tahoma"/>
            <family val="2"/>
          </rPr>
          <t xml:space="preserve">
DEPRECIACION 2019</t>
        </r>
      </text>
    </comment>
    <comment ref="C28" authorId="1" shapeId="0" xr:uid="{3FD4A73E-4CDF-4B9A-8721-3CEC435AC9D8}">
      <text>
        <r>
          <rPr>
            <b/>
            <sz val="9"/>
            <color indexed="81"/>
            <rFont val="Tahoma"/>
            <family val="2"/>
          </rPr>
          <t>Martha Isabel:</t>
        </r>
        <r>
          <rPr>
            <sz val="9"/>
            <color indexed="81"/>
            <rFont val="Tahoma"/>
            <family val="2"/>
          </rPr>
          <t xml:space="preserve">
OJO DEBO ABRIR LO ACTIVOS</t>
        </r>
      </text>
    </comment>
    <comment ref="C29" authorId="1" shapeId="0" xr:uid="{3E371858-53D1-4333-8BE4-13AC29055ABE}">
      <text>
        <r>
          <rPr>
            <b/>
            <sz val="9"/>
            <color indexed="81"/>
            <rFont val="Tahoma"/>
            <family val="2"/>
          </rPr>
          <t>Martha Isabel:</t>
        </r>
        <r>
          <rPr>
            <sz val="9"/>
            <color indexed="81"/>
            <rFont val="Tahoma"/>
            <family val="2"/>
          </rPr>
          <t xml:space="preserve">
OJO DEBO ABRIR LO ACTIVOS</t>
        </r>
      </text>
    </comment>
    <comment ref="C30" authorId="1" shapeId="0" xr:uid="{581BC53E-C1BB-4C0F-BF98-919FAA16FCE2}">
      <text>
        <r>
          <rPr>
            <b/>
            <sz val="9"/>
            <color indexed="81"/>
            <rFont val="Tahoma"/>
            <family val="2"/>
          </rPr>
          <t>Martha Isabel:</t>
        </r>
        <r>
          <rPr>
            <sz val="9"/>
            <color indexed="81"/>
            <rFont val="Tahoma"/>
            <family val="2"/>
          </rPr>
          <t xml:space="preserve">
OJO DEBO ABRIR LO ACTIVOS</t>
        </r>
      </text>
    </comment>
  </commentList>
</comments>
</file>

<file path=xl/sharedStrings.xml><?xml version="1.0" encoding="utf-8"?>
<sst xmlns="http://schemas.openxmlformats.org/spreadsheetml/2006/main" count="751" uniqueCount="272">
  <si>
    <t>FECHA DE COMPRA</t>
  </si>
  <si>
    <t>AF</t>
  </si>
  <si>
    <t>COSTO</t>
  </si>
  <si>
    <t>IVA P,PYE</t>
  </si>
  <si>
    <t>DEPRECIACION</t>
  </si>
  <si>
    <t>%</t>
  </si>
  <si>
    <t>TIEMPO  AÑOS</t>
  </si>
  <si>
    <t>SALDO NETO PCGA</t>
  </si>
  <si>
    <t>COMENTARIO</t>
  </si>
  <si>
    <t>NUEVO TIEMPO EN AÑOS DEPRECIACION</t>
  </si>
  <si>
    <t>TOTAL</t>
  </si>
  <si>
    <t>PRODUCTO</t>
  </si>
  <si>
    <t>IVA</t>
  </si>
  <si>
    <t>DEP ACUMULADA</t>
  </si>
  <si>
    <t>SALDO</t>
  </si>
  <si>
    <t>EQUIPO DE OFICINA</t>
  </si>
  <si>
    <t>PROVEEDOR</t>
  </si>
  <si>
    <t>ESCRITORIOS</t>
  </si>
  <si>
    <t>ZAFRANE MODULAR 1</t>
  </si>
  <si>
    <t xml:space="preserve">EQUIPO DE COMPUTACION </t>
  </si>
  <si>
    <t>Activo</t>
  </si>
  <si>
    <t>Tasa de depreciación anual</t>
  </si>
  <si>
    <t> Vida útil equivalente</t>
  </si>
  <si>
    <t>Construcciones y edificaciones</t>
  </si>
  <si>
    <t>2,22%</t>
  </si>
  <si>
    <t>45 años</t>
  </si>
  <si>
    <t>Acueducto, planta y redes</t>
  </si>
  <si>
    <t>2,50%</t>
  </si>
  <si>
    <t>40 años</t>
  </si>
  <si>
    <t>Vías de comunicación</t>
  </si>
  <si>
    <t>Flota y equipo aéreo</t>
  </si>
  <si>
    <t>3,33%</t>
  </si>
  <si>
    <t>30 años</t>
  </si>
  <si>
    <t>Flota y equipo férreo</t>
  </si>
  <si>
    <t>5,00%</t>
  </si>
  <si>
    <t>20 años</t>
  </si>
  <si>
    <t>Flota y equipo fluvial</t>
  </si>
  <si>
    <t>6,67%</t>
  </si>
  <si>
    <t>15 años</t>
  </si>
  <si>
    <t>Armamento y equipo de vigilancia</t>
  </si>
  <si>
    <t>10,00%</t>
  </si>
  <si>
    <t>10 años</t>
  </si>
  <si>
    <t>Equipo eléctrico</t>
  </si>
  <si>
    <t>Flota y equipo de transporte terrestre</t>
  </si>
  <si>
    <t>Maquinaria, equipos</t>
  </si>
  <si>
    <t>Muebles y enseres</t>
  </si>
  <si>
    <t>Equipo médico científico</t>
  </si>
  <si>
    <t>12,50%</t>
  </si>
  <si>
    <t> 8 años</t>
  </si>
  <si>
    <t>Envases, empaques y herramientas</t>
  </si>
  <si>
    <t>20,00%</t>
  </si>
  <si>
    <t> 5 años</t>
  </si>
  <si>
    <t>Equipo de computación</t>
  </si>
  <si>
    <t>Redes de procesamiento de datos</t>
  </si>
  <si>
    <t>Equipo de comunicación</t>
  </si>
  <si>
    <t>UVT</t>
  </si>
  <si>
    <t>ACTIVOS DE MENOR VALOR</t>
  </si>
  <si>
    <t>Sucursal</t>
  </si>
  <si>
    <t>Nit</t>
  </si>
  <si>
    <t>Tercero</t>
  </si>
  <si>
    <t>Fecha</t>
  </si>
  <si>
    <t>Tipo</t>
  </si>
  <si>
    <t>Nro Docto</t>
  </si>
  <si>
    <t>Invc</t>
  </si>
  <si>
    <t>Descripción</t>
  </si>
  <si>
    <t>Débito</t>
  </si>
  <si>
    <t>Crédito</t>
  </si>
  <si>
    <t>Saldo</t>
  </si>
  <si>
    <t>901050259</t>
  </si>
  <si>
    <t>FP</t>
  </si>
  <si>
    <t>FE9</t>
  </si>
  <si>
    <t>COMPRA EQUIPO DE OFICINA</t>
  </si>
  <si>
    <t>800242106</t>
  </si>
  <si>
    <t>SODIMAC COLOMBIA SA</t>
  </si>
  <si>
    <t>00102436</t>
  </si>
  <si>
    <t>ELEMENTOS PARA A OFICINA</t>
  </si>
  <si>
    <t>ESTE SE VA, ES UN GASTO</t>
  </si>
  <si>
    <t>FE-369</t>
  </si>
  <si>
    <t>Silla Giratoria seul en malla</t>
  </si>
  <si>
    <t>00102065</t>
  </si>
  <si>
    <t>BOMBA PERIFERICA, GAFA LENTE</t>
  </si>
  <si>
    <t>ACTIVOS DE MENOR VALO</t>
  </si>
  <si>
    <t>escritorios oficina nueva</t>
  </si>
  <si>
    <t>igual</t>
  </si>
  <si>
    <t>AUTOMATION SAS</t>
  </si>
  <si>
    <t>DEPRECIACION NIIF PYMES 2021</t>
  </si>
  <si>
    <t>NEVERA PARA OFICINA</t>
  </si>
  <si>
    <t>ACTIVO DE MENOR VALOR SE DEPRECIA AL 100%</t>
  </si>
  <si>
    <t>1151952977</t>
  </si>
  <si>
    <t>EDISON  GALVEZ BURIT</t>
  </si>
  <si>
    <t>FE-399</t>
  </si>
  <si>
    <t>COMPRA DE COMPUTO</t>
  </si>
  <si>
    <t>91259086</t>
  </si>
  <si>
    <t xml:space="preserve"> CARLOS DARIO  SOLAN</t>
  </si>
  <si>
    <t>EQ</t>
  </si>
  <si>
    <t>050</t>
  </si>
  <si>
    <t>Portatil msi core I7 16 gb</t>
  </si>
  <si>
    <t>901189477</t>
  </si>
  <si>
    <t>TIENDA MSI COLOMBIA</t>
  </si>
  <si>
    <t>581</t>
  </si>
  <si>
    <t>Portatil MSI</t>
  </si>
  <si>
    <t>16455078</t>
  </si>
  <si>
    <t>HUGO HERNAN CANO GON</t>
  </si>
  <si>
    <t>21265HMI</t>
  </si>
  <si>
    <t>Pantalla tactil marca HMI siemens,base f</t>
  </si>
  <si>
    <t>18</t>
  </si>
  <si>
    <t>SUMINISTRO DE MODULO FLEX I/O</t>
  </si>
  <si>
    <t>890900943</t>
  </si>
  <si>
    <t>COLOMBIANA DE COMERC</t>
  </si>
  <si>
    <t>51000973</t>
  </si>
  <si>
    <t>CELULAR</t>
  </si>
  <si>
    <t>VR SIN IVA</t>
  </si>
  <si>
    <t>TIENDA MSI COLOMBIA SAS</t>
  </si>
  <si>
    <t>depreciar al 100%</t>
  </si>
  <si>
    <t>ojo nos tomamos el iva, SE LLEVA AL GASTO</t>
  </si>
  <si>
    <t>-1000828</t>
  </si>
  <si>
    <t>CELULAR PARA USO EMPRESARIAL</t>
  </si>
  <si>
    <t>FP 352</t>
  </si>
  <si>
    <t>901261048</t>
  </si>
  <si>
    <t>GRUPO UMA SAS</t>
  </si>
  <si>
    <t>CAL2-438</t>
  </si>
  <si>
    <t>IVA-MOTOCICLETA DOMINAR 400 NEGRO NEBULO</t>
  </si>
  <si>
    <t>MOTOCICLETA DOMINAR 400 NEGRO NEBULOSA</t>
  </si>
  <si>
    <t>FLOTA Y EQUIPO DE TRANSPORTE</t>
  </si>
  <si>
    <t>MOTOCICLETA DOMINAR 400 NEGRO NEBULO</t>
  </si>
  <si>
    <t>FP 1097</t>
  </si>
  <si>
    <t>JHON EDWARD BETANCOURT</t>
  </si>
  <si>
    <t>1108120793</t>
  </si>
  <si>
    <t>YEIMY MALLARID GALVE</t>
  </si>
  <si>
    <t>450</t>
  </si>
  <si>
    <t>COMPRA EQUIPOS DE OFICINA</t>
  </si>
  <si>
    <t>687</t>
  </si>
  <si>
    <t>COMPRA 2 EQUIPOS PORTATILES OFICINA</t>
  </si>
  <si>
    <t>031</t>
  </si>
  <si>
    <t>COMPRA PORTATIL ACER NITRO COREI 5</t>
  </si>
  <si>
    <t>FP71</t>
  </si>
  <si>
    <t>FP202</t>
  </si>
  <si>
    <t>FP250</t>
  </si>
  <si>
    <t>NEVERA NF SAMSUNG</t>
  </si>
  <si>
    <t xml:space="preserve">PORTATIL HP 255 G7 AMD ATHLON 3020 </t>
  </si>
  <si>
    <t>PORTATIL HACER NITRO CORE I5 10300M DOR 4</t>
  </si>
  <si>
    <t>FP 378</t>
  </si>
  <si>
    <t>MEMORIAS 3</t>
  </si>
  <si>
    <t>SE DEPRECIARA TODO</t>
  </si>
  <si>
    <t>FOLDERAMA</t>
  </si>
  <si>
    <t>TOTAL  DEP AÑO 2022</t>
  </si>
  <si>
    <t>TOTAL DEP ACUMULADA</t>
  </si>
  <si>
    <t>SILLA Y ESCRITORIO</t>
  </si>
  <si>
    <t>PORTATIL</t>
  </si>
  <si>
    <t>PORTATIL LENOVO</t>
  </si>
  <si>
    <t>DRIVE</t>
  </si>
  <si>
    <t>EQUIPOS</t>
  </si>
  <si>
    <t>PORTATIL LENOVO 5</t>
  </si>
  <si>
    <t>VARIDORES DE VELOCIDAD</t>
  </si>
  <si>
    <t>PORTATILES LENOVO LEGION</t>
  </si>
  <si>
    <t>MOTOCICLETA GIXXER 250</t>
  </si>
  <si>
    <t xml:space="preserve">SUZUKI </t>
  </si>
  <si>
    <t>FP 1844</t>
  </si>
  <si>
    <t>MAQUINARIA</t>
  </si>
  <si>
    <t xml:space="preserve">SOLDADOR INVER 180A 110/220V ELEC/TIG/MIG+ANTORCHA NIG </t>
  </si>
  <si>
    <t>DUQUE VILLALBA</t>
  </si>
  <si>
    <t>FP1893</t>
  </si>
  <si>
    <t>PORTÁTIL IDEAPAD LENOVO RYZEN 7 1TB SSD 8GB RAM</t>
  </si>
  <si>
    <t>PROFESSIONAL WIRELESS SAS</t>
  </si>
  <si>
    <t>IMPRESORA HP LASER JET 107W|</t>
  </si>
  <si>
    <t>LILIANA BOLAÑOS URBANO|</t>
  </si>
  <si>
    <t>FP1924</t>
  </si>
  <si>
    <t>SILLA GIRATORIA</t>
  </si>
  <si>
    <t>MAQUINA FLUKE</t>
  </si>
  <si>
    <t>DS46</t>
  </si>
  <si>
    <t>JOSE VITELIO</t>
  </si>
  <si>
    <t/>
  </si>
  <si>
    <t>ASPIRADORA</t>
  </si>
  <si>
    <t>SODIMA</t>
  </si>
  <si>
    <t>FP1912</t>
  </si>
  <si>
    <t>CALIBRADOR</t>
  </si>
  <si>
    <t>ZEMIC</t>
  </si>
  <si>
    <t>DE103</t>
  </si>
  <si>
    <t>VIDEO BEAN</t>
  </si>
  <si>
    <t>COMPRATELO SAS</t>
  </si>
  <si>
    <t>1928</t>
  </si>
  <si>
    <t>DEP 2019</t>
  </si>
  <si>
    <t>SALDO OR DEPRECIAR</t>
  </si>
  <si>
    <t>DEP 2020</t>
  </si>
  <si>
    <t>DEP 2021</t>
  </si>
  <si>
    <t>DEP 2022</t>
  </si>
  <si>
    <t>TOTAL CUENTA 15 CONTABILIDAD</t>
  </si>
  <si>
    <t>DIFERENCIA</t>
  </si>
  <si>
    <t>AUTOMATION ENGINEERING SAS</t>
  </si>
  <si>
    <t>901187880-6</t>
  </si>
  <si>
    <t>BALANCE DE PRUEBA POR CUENTA Y TERCERO</t>
  </si>
  <si>
    <t>PERIODO 01/01/2018  13/01/2023</t>
  </si>
  <si>
    <t>Impreso : 13  de  enero  de   2023</t>
  </si>
  <si>
    <t>Codigo</t>
  </si>
  <si>
    <t>Descripcion</t>
  </si>
  <si>
    <t>Saldo Anterior</t>
  </si>
  <si>
    <t>Saldo Actual</t>
  </si>
  <si>
    <t>Destino</t>
  </si>
  <si>
    <t>Todos</t>
  </si>
  <si>
    <t>DUQUE VILLALBA SAS</t>
  </si>
  <si>
    <t>TOTAL MAQUINARIA</t>
  </si>
  <si>
    <t>EQUIPO</t>
  </si>
  <si>
    <t>JOSE VITELIO FERNANDEZ FRANCO</t>
  </si>
  <si>
    <t>ZEMIC EUROPE B.V.</t>
  </si>
  <si>
    <t>COLOMBIA TELECOMUNICACIONES SA</t>
  </si>
  <si>
    <t>TOTAL EQUIPO</t>
  </si>
  <si>
    <t>IVA DE MAQUINARIA Y EQUIPO</t>
  </si>
  <si>
    <t>TOTAL IVA DE MAQUINARIA Y EQUIPO</t>
  </si>
  <si>
    <t>MUEBLES Y ENSERES</t>
  </si>
  <si>
    <t>TOTAL MUEBLES Y ENSERES</t>
  </si>
  <si>
    <t>IVA MUEBLES Y ENSERES</t>
  </si>
  <si>
    <t>LILIANA  BOLAÑOS URBANO</t>
  </si>
  <si>
    <t>TOTAL IVA MUEBLES Y ENSERES</t>
  </si>
  <si>
    <t>EQUIPOS DE OFICINA</t>
  </si>
  <si>
    <t>HAROLD ALFONZO LOPERA CERON</t>
  </si>
  <si>
    <t>TOTAL EQUIPOS DE OFICINA</t>
  </si>
  <si>
    <t>EQUIPOS DE COMPUTO</t>
  </si>
  <si>
    <t>YEIMY MALLARID GALVEZ BURITICA</t>
  </si>
  <si>
    <t>EDISON  GALVEZ BURITICA</t>
  </si>
  <si>
    <t>HUGO HERNAN CANO GONZALEZ</t>
  </si>
  <si>
    <t xml:space="preserve"> CARLOS DARIO  SOLANO BLANCO</t>
  </si>
  <si>
    <t>TOTAL EQUIPOS DE COMPUTO</t>
  </si>
  <si>
    <t>IVA EQUIPO DE COMPUTO</t>
  </si>
  <si>
    <t>UAE DIRECCION DE IMPUESTOS Y ADU</t>
  </si>
  <si>
    <t>TOTAL IVA EQUIPO DE COMPUTO</t>
  </si>
  <si>
    <t>EQUIPOS DE TELECOMUNICACIONES</t>
  </si>
  <si>
    <t>COLOMBIANA DE COMERCIO SA</t>
  </si>
  <si>
    <t>TOTAL EQUIPOS DE TELECOMUNICACIONES</t>
  </si>
  <si>
    <t>OTROS EQUIPOS COMPUTACION</t>
  </si>
  <si>
    <t>JOHAN  FONTANAROSSA CAÑAVERAL</t>
  </si>
  <si>
    <t>JAVIER ANTONIO ROJAS SILVA</t>
  </si>
  <si>
    <t>TOTAL OTROS EQUIPOS COMPUTACION</t>
  </si>
  <si>
    <t>AUTOS, CAMIONETAS Y CAMPEROS</t>
  </si>
  <si>
    <t>SUZUKI MOTOR DE COLOMBIA SA</t>
  </si>
  <si>
    <t>TOTAL AUTOS, CAMIONETAS Y CAMPEROS</t>
  </si>
  <si>
    <t>IVA AUTOS, CAMIONETAS Y CAMPER</t>
  </si>
  <si>
    <t>TOTAL IVA AUTOS, CAMIONETAS Y CAMPER</t>
  </si>
  <si>
    <t>DEP.ACUM. MAQUINARIA Y EQUIPO</t>
  </si>
  <si>
    <t>TOTAL DEP.ACUM. MAQUINARIA Y EQUIPO</t>
  </si>
  <si>
    <t>DEP.ACUM. MUEBLES Y ENSERES</t>
  </si>
  <si>
    <t>TOTAL DEP.ACUM. MUEBLES Y ENSERES</t>
  </si>
  <si>
    <t>DEP.ACUM. EQUIPO DE OFICINA</t>
  </si>
  <si>
    <t>TOTAL DEP.ACUM. EQUIPO DE OFICINA</t>
  </si>
  <si>
    <t>DEP.ACUM. EQUIPO COMPUTACION</t>
  </si>
  <si>
    <t>TOTAL DEP.ACUM. EQUIPO COMPUTACION</t>
  </si>
  <si>
    <t>DEP. ACUM. EQ. DE TRANSPORTE</t>
  </si>
  <si>
    <t>TOTAL DEP. ACUM. EQ. DE TRANSPORTE</t>
  </si>
  <si>
    <t>SUMAS IGUALES</t>
  </si>
  <si>
    <t>BOMBA PERIFERICA</t>
  </si>
  <si>
    <t>RECLASIFICAR</t>
  </si>
  <si>
    <t>PERIODO 01/01/2022  31/12/2022</t>
  </si>
  <si>
    <t>Ok</t>
  </si>
  <si>
    <t>ok</t>
  </si>
  <si>
    <t xml:space="preserve">DEPRECIACION NIIF PYMES </t>
  </si>
  <si>
    <t>DEP 2023</t>
  </si>
  <si>
    <t>MULTIMETRO MARCA FLUKE REF 115</t>
  </si>
  <si>
    <t>PANTALLA ELECTRICA 3.00 X 2.3</t>
  </si>
  <si>
    <t>TOTAL ACTIVOS FIJO A ENERO</t>
  </si>
  <si>
    <t>ANTES DE IVA</t>
  </si>
  <si>
    <t xml:space="preserve">PORTATIL LENOVO LEGION 5 PRO CORE I7 32GB 1TB </t>
  </si>
  <si>
    <t>COMPUTADORES Y PARTES TIGERTECH SAS</t>
  </si>
  <si>
    <t>12 PANTALLAS SAMSUNG 22 F22T350FHL</t>
  </si>
  <si>
    <t>DISCO DURO SAMSUNG 9802TB</t>
  </si>
  <si>
    <t>JAVIER ANTONIO ROJAS</t>
  </si>
  <si>
    <t>SEGURIDAD Y ALTURA SAS</t>
  </si>
  <si>
    <t>ACOLILLADORA 10 1650W 4500RPM BOSCH</t>
  </si>
  <si>
    <t>CILINDRO</t>
  </si>
  <si>
    <t>FP180</t>
  </si>
  <si>
    <t>REGULADOR ARGON IMETAN CON MANOMETRO</t>
  </si>
  <si>
    <t>TRANSF CONTR WATTIO 500VA 110/220/440</t>
  </si>
  <si>
    <t>MONITOR LG DE 27'' IPS 4K HDF 27UN880-B (5000067)</t>
  </si>
  <si>
    <t>3DCONEEEXION 3DX SPACEMOUSE PRO RATON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</si>
</sst>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0\ _€_-;\-* #,##0.00\ _€_-;_-* &quot;-&quot;??\ _€_-;_-@_-"/>
    <numFmt numFmtId="167" formatCode="#,#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 Light"/>
      <family val="1"/>
      <scheme val="major"/>
    </font>
    <font>
      <b/>
      <sz val="14"/>
      <color theme="1"/>
      <name val="Calibri Light"/>
      <family val="1"/>
      <scheme val="major"/>
    </font>
    <font>
      <sz val="10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b/>
      <sz val="8"/>
      <color theme="1"/>
      <name val="Calibri Light"/>
      <family val="1"/>
      <scheme val="major"/>
    </font>
    <font>
      <sz val="9"/>
      <color theme="1"/>
      <name val="Calibri Light"/>
      <family val="1"/>
      <scheme val="major"/>
    </font>
    <font>
      <b/>
      <sz val="9"/>
      <color theme="0"/>
      <name val="Calibri Light"/>
      <family val="1"/>
      <scheme val="major"/>
    </font>
    <font>
      <b/>
      <sz val="8"/>
      <color theme="0"/>
      <name val="Calibri Light"/>
      <family val="1"/>
      <scheme val="major"/>
    </font>
    <font>
      <sz val="8"/>
      <color rgb="FFFF0000"/>
      <name val="Calibri Light"/>
      <family val="1"/>
      <scheme val="major"/>
    </font>
    <font>
      <sz val="9"/>
      <color rgb="FFFF0000"/>
      <name val="Calibri Light"/>
      <family val="1"/>
      <scheme val="major"/>
    </font>
    <font>
      <sz val="8"/>
      <name val="Calibri Light"/>
      <family val="1"/>
      <scheme val="major"/>
    </font>
    <font>
      <sz val="9"/>
      <name val="Calibri Light"/>
      <family val="1"/>
      <scheme val="major"/>
    </font>
    <font>
      <b/>
      <sz val="8"/>
      <color rgb="FFFF0000"/>
      <name val="Calibri Light"/>
      <family val="1"/>
      <scheme val="major"/>
    </font>
    <font>
      <b/>
      <sz val="9"/>
      <color rgb="FFFF0000"/>
      <name val="Calibri Light"/>
      <family val="1"/>
      <scheme val="major"/>
    </font>
    <font>
      <b/>
      <sz val="12"/>
      <color rgb="FF000000"/>
      <name val="Open Sans"/>
      <family val="2"/>
    </font>
    <font>
      <sz val="12"/>
      <color rgb="FF333333"/>
      <name val="Open Sans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10"/>
      <color theme="1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4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9"/>
      <color rgb="FFFF0000"/>
      <name val="Calibri Light"/>
      <family val="2"/>
      <scheme val="major"/>
    </font>
    <font>
      <sz val="9"/>
      <name val="Calibri Light"/>
      <family val="2"/>
      <scheme val="major"/>
    </font>
    <font>
      <sz val="9"/>
      <color rgb="FFFF0000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8"/>
      <color rgb="FF333333"/>
      <name val="Segoe UI"/>
      <family val="2"/>
    </font>
    <font>
      <b/>
      <sz val="11"/>
      <color rgb="FF333333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rgb="FFC0C0C0"/>
      </left>
      <right/>
      <top style="thick">
        <color rgb="FF0091D5"/>
      </top>
      <bottom/>
      <diagonal/>
    </border>
    <border>
      <left style="medium">
        <color rgb="FFC0C0C0"/>
      </left>
      <right style="medium">
        <color rgb="FFC0C0C0"/>
      </right>
      <top style="thick">
        <color rgb="FF0091D5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theme="8" tint="-0.2499465926084170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theme="8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theme="8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9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9" fillId="2" borderId="0" xfId="0" applyFont="1" applyFill="1"/>
    <xf numFmtId="164" fontId="3" fillId="4" borderId="8" xfId="1" applyNumberFormat="1" applyFont="1" applyFill="1" applyBorder="1" applyAlignment="1">
      <alignment horizontal="center" vertical="center"/>
    </xf>
    <xf numFmtId="49" fontId="7" fillId="2" borderId="9" xfId="1" applyNumberFormat="1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vertical="center"/>
    </xf>
    <xf numFmtId="0" fontId="7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164" fontId="5" fillId="2" borderId="9" xfId="1" applyNumberFormat="1" applyFont="1" applyFill="1" applyBorder="1"/>
    <xf numFmtId="164" fontId="12" fillId="2" borderId="8" xfId="1" applyNumberFormat="1" applyFont="1" applyFill="1" applyBorder="1" applyAlignment="1">
      <alignment horizontal="center" vertical="center"/>
    </xf>
    <xf numFmtId="164" fontId="13" fillId="2" borderId="8" xfId="1" applyNumberFormat="1" applyFont="1" applyFill="1" applyBorder="1" applyAlignment="1">
      <alignment horizontal="center" vertical="center"/>
    </xf>
    <xf numFmtId="164" fontId="13" fillId="2" borderId="0" xfId="1" applyNumberFormat="1" applyFont="1" applyFill="1" applyBorder="1" applyAlignment="1">
      <alignment horizontal="center" vertical="center"/>
    </xf>
    <xf numFmtId="164" fontId="5" fillId="2" borderId="0" xfId="0" applyNumberFormat="1" applyFont="1" applyFill="1"/>
    <xf numFmtId="164" fontId="5" fillId="2" borderId="0" xfId="1" applyNumberFormat="1" applyFont="1" applyFill="1"/>
    <xf numFmtId="164" fontId="15" fillId="5" borderId="8" xfId="1" applyNumberFormat="1" applyFont="1" applyFill="1" applyBorder="1" applyAlignment="1">
      <alignment horizontal="center" vertical="center"/>
    </xf>
    <xf numFmtId="164" fontId="15" fillId="6" borderId="8" xfId="1" applyNumberFormat="1" applyFont="1" applyFill="1" applyBorder="1" applyAlignment="1">
      <alignment horizontal="center" vertical="center"/>
    </xf>
    <xf numFmtId="164" fontId="15" fillId="2" borderId="8" xfId="1" applyNumberFormat="1" applyFont="1" applyFill="1" applyBorder="1" applyAlignment="1">
      <alignment horizontal="center" vertical="center"/>
    </xf>
    <xf numFmtId="164" fontId="16" fillId="2" borderId="9" xfId="0" applyNumberFormat="1" applyFont="1" applyFill="1" applyBorder="1" applyAlignment="1">
      <alignment vertical="center"/>
    </xf>
    <xf numFmtId="164" fontId="9" fillId="2" borderId="0" xfId="0" applyNumberFormat="1" applyFont="1" applyFill="1"/>
    <xf numFmtId="0" fontId="10" fillId="3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2" borderId="9" xfId="0" applyFont="1" applyFill="1" applyBorder="1"/>
    <xf numFmtId="43" fontId="8" fillId="2" borderId="9" xfId="0" applyNumberFormat="1" applyFont="1" applyFill="1" applyBorder="1" applyAlignment="1">
      <alignment vertical="center"/>
    </xf>
    <xf numFmtId="164" fontId="5" fillId="2" borderId="9" xfId="0" applyNumberFormat="1" applyFont="1" applyFill="1" applyBorder="1"/>
    <xf numFmtId="43" fontId="16" fillId="2" borderId="9" xfId="0" applyNumberFormat="1" applyFont="1" applyFill="1" applyBorder="1" applyAlignment="1">
      <alignment vertical="center"/>
    </xf>
    <xf numFmtId="164" fontId="17" fillId="2" borderId="9" xfId="0" applyNumberFormat="1" applyFont="1" applyFill="1" applyBorder="1" applyAlignment="1">
      <alignment vertical="center"/>
    </xf>
    <xf numFmtId="164" fontId="17" fillId="2" borderId="0" xfId="0" applyNumberFormat="1" applyFont="1" applyFill="1" applyAlignment="1">
      <alignment vertical="center"/>
    </xf>
    <xf numFmtId="164" fontId="13" fillId="2" borderId="9" xfId="1" applyNumberFormat="1" applyFont="1" applyFill="1" applyBorder="1" applyAlignment="1">
      <alignment horizontal="center" vertical="center"/>
    </xf>
    <xf numFmtId="164" fontId="13" fillId="2" borderId="10" xfId="1" applyNumberFormat="1" applyFont="1" applyFill="1" applyBorder="1" applyAlignment="1">
      <alignment horizontal="center" vertical="center"/>
    </xf>
    <xf numFmtId="164" fontId="13" fillId="2" borderId="13" xfId="1" applyNumberFormat="1" applyFont="1" applyFill="1" applyBorder="1" applyAlignment="1">
      <alignment horizontal="center" vertical="center"/>
    </xf>
    <xf numFmtId="164" fontId="15" fillId="5" borderId="10" xfId="1" applyNumberFormat="1" applyFont="1" applyFill="1" applyBorder="1" applyAlignment="1">
      <alignment horizontal="center" vertical="center"/>
    </xf>
    <xf numFmtId="164" fontId="12" fillId="2" borderId="9" xfId="1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17" fontId="10" fillId="3" borderId="3" xfId="0" applyNumberFormat="1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vertical="center" wrapText="1"/>
    </xf>
    <xf numFmtId="0" fontId="18" fillId="7" borderId="17" xfId="0" applyFont="1" applyFill="1" applyBorder="1" applyAlignment="1">
      <alignment vertical="center" wrapText="1"/>
    </xf>
    <xf numFmtId="0" fontId="19" fillId="7" borderId="18" xfId="0" applyFont="1" applyFill="1" applyBorder="1" applyAlignment="1">
      <alignment vertical="center" wrapText="1"/>
    </xf>
    <xf numFmtId="0" fontId="19" fillId="7" borderId="19" xfId="0" applyFont="1" applyFill="1" applyBorder="1" applyAlignment="1">
      <alignment vertical="center" wrapText="1"/>
    </xf>
    <xf numFmtId="0" fontId="19" fillId="7" borderId="20" xfId="0" applyFont="1" applyFill="1" applyBorder="1" applyAlignment="1">
      <alignment vertical="center" wrapText="1"/>
    </xf>
    <xf numFmtId="0" fontId="19" fillId="7" borderId="21" xfId="0" applyFont="1" applyFill="1" applyBorder="1" applyAlignment="1">
      <alignment vertical="center" wrapText="1"/>
    </xf>
    <xf numFmtId="0" fontId="19" fillId="7" borderId="0" xfId="0" applyFont="1" applyFill="1" applyAlignment="1">
      <alignment vertical="center" wrapText="1"/>
    </xf>
    <xf numFmtId="43" fontId="0" fillId="0" borderId="0" xfId="1" applyFont="1"/>
    <xf numFmtId="165" fontId="0" fillId="0" borderId="0" xfId="1" applyNumberFormat="1" applyFont="1"/>
    <xf numFmtId="164" fontId="0" fillId="0" borderId="0" xfId="1" applyNumberFormat="1" applyFont="1"/>
    <xf numFmtId="49" fontId="2" fillId="0" borderId="0" xfId="0" applyNumberFormat="1" applyFont="1"/>
    <xf numFmtId="49" fontId="0" fillId="0" borderId="0" xfId="0" applyNumberFormat="1"/>
    <xf numFmtId="14" fontId="0" fillId="0" borderId="0" xfId="0" applyNumberFormat="1"/>
    <xf numFmtId="43" fontId="0" fillId="0" borderId="0" xfId="3" applyFont="1"/>
    <xf numFmtId="0" fontId="0" fillId="5" borderId="0" xfId="0" applyFill="1"/>
    <xf numFmtId="49" fontId="0" fillId="5" borderId="0" xfId="0" applyNumberFormat="1" applyFill="1"/>
    <xf numFmtId="14" fontId="0" fillId="5" borderId="0" xfId="0" applyNumberFormat="1" applyFill="1"/>
    <xf numFmtId="43" fontId="0" fillId="5" borderId="0" xfId="3" applyFont="1" applyFill="1"/>
    <xf numFmtId="0" fontId="0" fillId="8" borderId="0" xfId="0" applyFill="1"/>
    <xf numFmtId="49" fontId="0" fillId="8" borderId="0" xfId="0" applyNumberFormat="1" applyFill="1"/>
    <xf numFmtId="14" fontId="0" fillId="8" borderId="0" xfId="0" applyNumberFormat="1" applyFill="1"/>
    <xf numFmtId="43" fontId="0" fillId="8" borderId="0" xfId="3" applyFont="1" applyFill="1"/>
    <xf numFmtId="14" fontId="7" fillId="2" borderId="9" xfId="0" applyNumberFormat="1" applyFont="1" applyFill="1" applyBorder="1" applyAlignment="1">
      <alignment horizontal="center" vertical="center" wrapText="1"/>
    </xf>
    <xf numFmtId="9" fontId="14" fillId="2" borderId="8" xfId="2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9" fontId="3" fillId="2" borderId="9" xfId="1" applyNumberFormat="1" applyFont="1" applyFill="1" applyBorder="1" applyAlignment="1">
      <alignment horizontal="center" vertical="center"/>
    </xf>
    <xf numFmtId="0" fontId="0" fillId="9" borderId="0" xfId="0" applyFill="1"/>
    <xf numFmtId="49" fontId="0" fillId="9" borderId="0" xfId="0" applyNumberFormat="1" applyFill="1"/>
    <xf numFmtId="14" fontId="0" fillId="9" borderId="0" xfId="0" applyNumberFormat="1" applyFill="1"/>
    <xf numFmtId="43" fontId="0" fillId="9" borderId="0" xfId="1" applyFont="1" applyFill="1"/>
    <xf numFmtId="165" fontId="0" fillId="9" borderId="0" xfId="1" applyNumberFormat="1" applyFont="1" applyFill="1"/>
    <xf numFmtId="0" fontId="0" fillId="4" borderId="0" xfId="0" applyFill="1"/>
    <xf numFmtId="49" fontId="0" fillId="4" borderId="0" xfId="0" applyNumberFormat="1" applyFill="1"/>
    <xf numFmtId="14" fontId="0" fillId="4" borderId="0" xfId="0" applyNumberFormat="1" applyFill="1"/>
    <xf numFmtId="43" fontId="0" fillId="4" borderId="0" xfId="1" applyFont="1" applyFill="1"/>
    <xf numFmtId="165" fontId="0" fillId="4" borderId="0" xfId="1" applyNumberFormat="1" applyFont="1" applyFill="1"/>
    <xf numFmtId="43" fontId="0" fillId="0" borderId="0" xfId="4" applyFont="1"/>
    <xf numFmtId="164" fontId="22" fillId="2" borderId="9" xfId="0" applyNumberFormat="1" applyFont="1" applyFill="1" applyBorder="1"/>
    <xf numFmtId="164" fontId="3" fillId="0" borderId="8" xfId="1" applyNumberFormat="1" applyFont="1" applyFill="1" applyBorder="1" applyAlignment="1">
      <alignment horizontal="center" vertical="center"/>
    </xf>
    <xf numFmtId="164" fontId="3" fillId="2" borderId="0" xfId="0" applyNumberFormat="1" applyFont="1" applyFill="1"/>
    <xf numFmtId="166" fontId="3" fillId="2" borderId="0" xfId="0" applyNumberFormat="1" applyFont="1" applyFill="1"/>
    <xf numFmtId="0" fontId="7" fillId="2" borderId="11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49" fontId="7" fillId="2" borderId="12" xfId="1" applyNumberFormat="1" applyFont="1" applyFill="1" applyBorder="1" applyAlignment="1">
      <alignment horizontal="center" vertical="center" wrapText="1"/>
    </xf>
    <xf numFmtId="164" fontId="15" fillId="5" borderId="0" xfId="1" applyNumberFormat="1" applyFont="1" applyFill="1" applyBorder="1" applyAlignment="1">
      <alignment horizontal="center" vertical="center"/>
    </xf>
    <xf numFmtId="164" fontId="15" fillId="6" borderId="0" xfId="1" applyNumberFormat="1" applyFont="1" applyFill="1" applyBorder="1" applyAlignment="1">
      <alignment horizontal="center" vertical="center"/>
    </xf>
    <xf numFmtId="164" fontId="15" fillId="2" borderId="0" xfId="1" applyNumberFormat="1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vertical="center" wrapText="1"/>
    </xf>
    <xf numFmtId="0" fontId="7" fillId="11" borderId="9" xfId="0" applyFont="1" applyFill="1" applyBorder="1" applyAlignment="1">
      <alignment vertical="center" wrapText="1"/>
    </xf>
    <xf numFmtId="164" fontId="15" fillId="5" borderId="22" xfId="1" applyNumberFormat="1" applyFont="1" applyFill="1" applyBorder="1" applyAlignment="1">
      <alignment horizontal="center" vertical="center"/>
    </xf>
    <xf numFmtId="164" fontId="15" fillId="2" borderId="22" xfId="1" applyNumberFormat="1" applyFont="1" applyFill="1" applyBorder="1" applyAlignment="1">
      <alignment horizontal="center" vertical="center"/>
    </xf>
    <xf numFmtId="164" fontId="15" fillId="5" borderId="9" xfId="1" applyNumberFormat="1" applyFont="1" applyFill="1" applyBorder="1" applyAlignment="1">
      <alignment horizontal="center" vertical="center"/>
    </xf>
    <xf numFmtId="164" fontId="15" fillId="2" borderId="9" xfId="1" applyNumberFormat="1" applyFont="1" applyFill="1" applyBorder="1" applyAlignment="1">
      <alignment horizontal="center" vertical="center"/>
    </xf>
    <xf numFmtId="41" fontId="5" fillId="2" borderId="9" xfId="5" applyFont="1" applyFill="1" applyBorder="1"/>
    <xf numFmtId="164" fontId="5" fillId="2" borderId="11" xfId="0" applyNumberFormat="1" applyFont="1" applyFill="1" applyBorder="1"/>
    <xf numFmtId="0" fontId="5" fillId="2" borderId="13" xfId="0" applyFont="1" applyFill="1" applyBorder="1"/>
    <xf numFmtId="164" fontId="13" fillId="2" borderId="11" xfId="1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/>
    <xf numFmtId="164" fontId="5" fillId="2" borderId="24" xfId="0" applyNumberFormat="1" applyFont="1" applyFill="1" applyBorder="1"/>
    <xf numFmtId="164" fontId="5" fillId="2" borderId="25" xfId="0" applyNumberFormat="1" applyFont="1" applyFill="1" applyBorder="1"/>
    <xf numFmtId="164" fontId="5" fillId="13" borderId="23" xfId="0" applyNumberFormat="1" applyFont="1" applyFill="1" applyBorder="1"/>
    <xf numFmtId="164" fontId="5" fillId="13" borderId="24" xfId="0" applyNumberFormat="1" applyFont="1" applyFill="1" applyBorder="1"/>
    <xf numFmtId="164" fontId="5" fillId="13" borderId="25" xfId="0" applyNumberFormat="1" applyFont="1" applyFill="1" applyBorder="1"/>
    <xf numFmtId="164" fontId="5" fillId="2" borderId="12" xfId="0" applyNumberFormat="1" applyFont="1" applyFill="1" applyBorder="1"/>
    <xf numFmtId="164" fontId="5" fillId="14" borderId="23" xfId="0" applyNumberFormat="1" applyFont="1" applyFill="1" applyBorder="1"/>
    <xf numFmtId="164" fontId="5" fillId="14" borderId="24" xfId="0" applyNumberFormat="1" applyFont="1" applyFill="1" applyBorder="1"/>
    <xf numFmtId="41" fontId="5" fillId="2" borderId="11" xfId="5" applyFont="1" applyFill="1" applyBorder="1"/>
    <xf numFmtId="164" fontId="0" fillId="0" borderId="12" xfId="0" applyNumberFormat="1" applyBorder="1"/>
    <xf numFmtId="41" fontId="0" fillId="13" borderId="23" xfId="0" applyNumberFormat="1" applyFill="1" applyBorder="1"/>
    <xf numFmtId="41" fontId="0" fillId="13" borderId="24" xfId="0" applyNumberFormat="1" applyFill="1" applyBorder="1"/>
    <xf numFmtId="164" fontId="22" fillId="2" borderId="11" xfId="0" applyNumberFormat="1" applyFont="1" applyFill="1" applyBorder="1"/>
    <xf numFmtId="41" fontId="25" fillId="2" borderId="26" xfId="0" applyNumberFormat="1" applyFont="1" applyFill="1" applyBorder="1"/>
    <xf numFmtId="41" fontId="25" fillId="2" borderId="27" xfId="0" applyNumberFormat="1" applyFont="1" applyFill="1" applyBorder="1"/>
    <xf numFmtId="41" fontId="25" fillId="2" borderId="28" xfId="0" applyNumberFormat="1" applyFont="1" applyFill="1" applyBorder="1"/>
    <xf numFmtId="167" fontId="0" fillId="0" borderId="0" xfId="0" applyNumberFormat="1"/>
    <xf numFmtId="0" fontId="7" fillId="2" borderId="31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vertical="center"/>
    </xf>
    <xf numFmtId="14" fontId="7" fillId="2" borderId="37" xfId="0" applyNumberFormat="1" applyFont="1" applyFill="1" applyBorder="1" applyAlignment="1">
      <alignment horizontal="center" vertical="center" wrapText="1"/>
    </xf>
    <xf numFmtId="14" fontId="7" fillId="2" borderId="24" xfId="0" applyNumberFormat="1" applyFont="1" applyFill="1" applyBorder="1" applyAlignment="1">
      <alignment horizontal="center" vertical="center" wrapText="1"/>
    </xf>
    <xf numFmtId="14" fontId="7" fillId="2" borderId="25" xfId="0" applyNumberFormat="1" applyFont="1" applyFill="1" applyBorder="1" applyAlignment="1">
      <alignment horizontal="center" vertical="center" wrapText="1"/>
    </xf>
    <xf numFmtId="41" fontId="22" fillId="12" borderId="38" xfId="5" applyFont="1" applyFill="1" applyBorder="1"/>
    <xf numFmtId="41" fontId="22" fillId="12" borderId="29" xfId="5" applyFont="1" applyFill="1" applyBorder="1"/>
    <xf numFmtId="41" fontId="22" fillId="12" borderId="30" xfId="5" applyFont="1" applyFill="1" applyBorder="1"/>
    <xf numFmtId="43" fontId="5" fillId="2" borderId="9" xfId="0" applyNumberFormat="1" applyFont="1" applyFill="1" applyBorder="1"/>
    <xf numFmtId="41" fontId="0" fillId="13" borderId="9" xfId="0" applyNumberFormat="1" applyFill="1" applyBorder="1"/>
    <xf numFmtId="164" fontId="0" fillId="0" borderId="9" xfId="0" applyNumberFormat="1" applyBorder="1"/>
    <xf numFmtId="164" fontId="5" fillId="14" borderId="9" xfId="0" applyNumberFormat="1" applyFont="1" applyFill="1" applyBorder="1"/>
    <xf numFmtId="167" fontId="5" fillId="2" borderId="9" xfId="0" applyNumberFormat="1" applyFont="1" applyFill="1" applyBorder="1"/>
    <xf numFmtId="0" fontId="7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164" fontId="16" fillId="2" borderId="0" xfId="0" applyNumberFormat="1" applyFont="1" applyFill="1" applyAlignment="1">
      <alignment vertical="center"/>
    </xf>
    <xf numFmtId="43" fontId="16" fillId="2" borderId="0" xfId="0" applyNumberFormat="1" applyFont="1" applyFill="1" applyAlignment="1">
      <alignment vertical="center"/>
    </xf>
    <xf numFmtId="164" fontId="22" fillId="2" borderId="0" xfId="0" applyNumberFormat="1" applyFont="1" applyFill="1"/>
    <xf numFmtId="41" fontId="25" fillId="2" borderId="0" xfId="0" applyNumberFormat="1" applyFont="1" applyFill="1"/>
    <xf numFmtId="0" fontId="26" fillId="2" borderId="0" xfId="0" applyFont="1" applyFill="1"/>
    <xf numFmtId="14" fontId="7" fillId="2" borderId="39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/>
    <xf numFmtId="0" fontId="5" fillId="2" borderId="32" xfId="0" applyFont="1" applyFill="1" applyBorder="1"/>
    <xf numFmtId="0" fontId="5" fillId="2" borderId="10" xfId="0" applyFont="1" applyFill="1" applyBorder="1"/>
    <xf numFmtId="41" fontId="5" fillId="2" borderId="40" xfId="5" applyFont="1" applyFill="1" applyBorder="1"/>
    <xf numFmtId="164" fontId="5" fillId="13" borderId="41" xfId="0" applyNumberFormat="1" applyFont="1" applyFill="1" applyBorder="1"/>
    <xf numFmtId="164" fontId="5" fillId="14" borderId="41" xfId="0" applyNumberFormat="1" applyFont="1" applyFill="1" applyBorder="1"/>
    <xf numFmtId="164" fontId="13" fillId="2" borderId="42" xfId="1" applyNumberFormat="1" applyFont="1" applyFill="1" applyBorder="1" applyAlignment="1">
      <alignment horizontal="center" vertical="center"/>
    </xf>
    <xf numFmtId="41" fontId="5" fillId="2" borderId="32" xfId="5" applyFont="1" applyFill="1" applyBorder="1"/>
    <xf numFmtId="41" fontId="5" fillId="2" borderId="10" xfId="5" applyFont="1" applyFill="1" applyBorder="1"/>
    <xf numFmtId="164" fontId="12" fillId="2" borderId="9" xfId="1" quotePrefix="1" applyNumberFormat="1" applyFont="1" applyFill="1" applyBorder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 wrapText="1"/>
    </xf>
    <xf numFmtId="43" fontId="5" fillId="2" borderId="0" xfId="0" applyNumberFormat="1" applyFont="1" applyFill="1"/>
    <xf numFmtId="41" fontId="5" fillId="2" borderId="0" xfId="5" applyFont="1" applyFill="1" applyBorder="1"/>
    <xf numFmtId="167" fontId="5" fillId="2" borderId="0" xfId="0" applyNumberFormat="1" applyFont="1" applyFill="1"/>
    <xf numFmtId="0" fontId="10" fillId="3" borderId="15" xfId="0" applyFont="1" applyFill="1" applyBorder="1" applyAlignment="1">
      <alignment horizontal="center" vertical="center" wrapText="1"/>
    </xf>
    <xf numFmtId="0" fontId="3" fillId="4" borderId="0" xfId="0" applyFont="1" applyFill="1"/>
    <xf numFmtId="164" fontId="8" fillId="4" borderId="9" xfId="0" applyNumberFormat="1" applyFont="1" applyFill="1" applyBorder="1" applyAlignment="1">
      <alignment vertical="center"/>
    </xf>
    <xf numFmtId="43" fontId="8" fillId="4" borderId="9" xfId="0" applyNumberFormat="1" applyFont="1" applyFill="1" applyBorder="1" applyAlignment="1">
      <alignment vertical="center"/>
    </xf>
    <xf numFmtId="164" fontId="16" fillId="4" borderId="9" xfId="0" applyNumberFormat="1" applyFont="1" applyFill="1" applyBorder="1" applyAlignment="1">
      <alignment vertical="center"/>
    </xf>
    <xf numFmtId="43" fontId="16" fillId="4" borderId="9" xfId="0" applyNumberFormat="1" applyFont="1" applyFill="1" applyBorder="1" applyAlignment="1">
      <alignment vertical="center"/>
    </xf>
    <xf numFmtId="0" fontId="5" fillId="4" borderId="0" xfId="0" applyFont="1" applyFill="1"/>
    <xf numFmtId="164" fontId="17" fillId="4" borderId="9" xfId="0" applyNumberFormat="1" applyFont="1" applyFill="1" applyBorder="1" applyAlignment="1">
      <alignment vertical="center"/>
    </xf>
    <xf numFmtId="0" fontId="5" fillId="4" borderId="9" xfId="0" applyFont="1" applyFill="1" applyBorder="1"/>
    <xf numFmtId="0" fontId="26" fillId="4" borderId="34" xfId="0" applyFont="1" applyFill="1" applyBorder="1" applyAlignment="1">
      <alignment vertical="center"/>
    </xf>
    <xf numFmtId="164" fontId="27" fillId="4" borderId="0" xfId="0" applyNumberFormat="1" applyFont="1" applyFill="1" applyAlignment="1">
      <alignment vertical="center"/>
    </xf>
    <xf numFmtId="164" fontId="22" fillId="4" borderId="9" xfId="0" applyNumberFormat="1" applyFont="1" applyFill="1" applyBorder="1"/>
    <xf numFmtId="0" fontId="7" fillId="4" borderId="9" xfId="0" applyFont="1" applyFill="1" applyBorder="1" applyAlignment="1">
      <alignment vertical="center"/>
    </xf>
    <xf numFmtId="1" fontId="2" fillId="8" borderId="0" xfId="0" applyNumberFormat="1" applyFont="1" applyFill="1"/>
    <xf numFmtId="0" fontId="2" fillId="0" borderId="0" xfId="0" applyFont="1"/>
    <xf numFmtId="1" fontId="2" fillId="0" borderId="0" xfId="0" applyNumberFormat="1" applyFont="1"/>
    <xf numFmtId="1" fontId="0" fillId="0" borderId="0" xfId="0" applyNumberFormat="1"/>
    <xf numFmtId="167" fontId="2" fillId="0" borderId="0" xfId="0" applyNumberFormat="1" applyFont="1"/>
    <xf numFmtId="0" fontId="2" fillId="8" borderId="0" xfId="0" applyFont="1" applyFill="1"/>
    <xf numFmtId="167" fontId="2" fillId="8" borderId="0" xfId="0" applyNumberFormat="1" applyFont="1" applyFill="1"/>
    <xf numFmtId="1" fontId="0" fillId="8" borderId="0" xfId="0" applyNumberFormat="1" applyFill="1"/>
    <xf numFmtId="167" fontId="0" fillId="8" borderId="0" xfId="0" applyNumberFormat="1" applyFill="1"/>
    <xf numFmtId="0" fontId="26" fillId="4" borderId="0" xfId="0" applyFont="1" applyFill="1"/>
    <xf numFmtId="0" fontId="26" fillId="4" borderId="22" xfId="0" applyFont="1" applyFill="1" applyBorder="1" applyAlignment="1">
      <alignment vertical="center"/>
    </xf>
    <xf numFmtId="164" fontId="26" fillId="4" borderId="8" xfId="0" applyNumberFormat="1" applyFont="1" applyFill="1" applyBorder="1" applyAlignment="1">
      <alignment vertical="center"/>
    </xf>
    <xf numFmtId="43" fontId="26" fillId="4" borderId="8" xfId="0" applyNumberFormat="1" applyFont="1" applyFill="1" applyBorder="1" applyAlignment="1">
      <alignment vertical="center"/>
    </xf>
    <xf numFmtId="164" fontId="27" fillId="4" borderId="8" xfId="0" applyNumberFormat="1" applyFont="1" applyFill="1" applyBorder="1" applyAlignment="1">
      <alignment vertical="center"/>
    </xf>
    <xf numFmtId="43" fontId="27" fillId="4" borderId="8" xfId="0" applyNumberFormat="1" applyFont="1" applyFill="1" applyBorder="1" applyAlignment="1">
      <alignment vertical="center"/>
    </xf>
    <xf numFmtId="0" fontId="26" fillId="4" borderId="8" xfId="0" applyFont="1" applyFill="1" applyBorder="1"/>
    <xf numFmtId="164" fontId="26" fillId="4" borderId="8" xfId="0" applyNumberFormat="1" applyFont="1" applyFill="1" applyBorder="1"/>
    <xf numFmtId="164" fontId="5" fillId="4" borderId="9" xfId="0" applyNumberFormat="1" applyFont="1" applyFill="1" applyBorder="1"/>
    <xf numFmtId="0" fontId="3" fillId="0" borderId="0" xfId="0" applyFont="1"/>
    <xf numFmtId="0" fontId="7" fillId="0" borderId="9" xfId="0" applyFont="1" applyBorder="1" applyAlignment="1">
      <alignment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7" fillId="0" borderId="9" xfId="1" applyNumberFormat="1" applyFont="1" applyFill="1" applyBorder="1" applyAlignment="1">
      <alignment horizontal="center" vertical="center" wrapText="1"/>
    </xf>
    <xf numFmtId="164" fontId="3" fillId="0" borderId="9" xfId="1" applyNumberFormat="1" applyFont="1" applyFill="1" applyBorder="1" applyAlignment="1">
      <alignment horizontal="center" vertical="center"/>
    </xf>
    <xf numFmtId="164" fontId="12" fillId="0" borderId="9" xfId="1" applyNumberFormat="1" applyFont="1" applyFill="1" applyBorder="1" applyAlignment="1">
      <alignment horizontal="center" vertical="center"/>
    </xf>
    <xf numFmtId="9" fontId="3" fillId="0" borderId="9" xfId="1" applyNumberFormat="1" applyFont="1" applyFill="1" applyBorder="1" applyAlignment="1">
      <alignment horizontal="center" vertical="center"/>
    </xf>
    <xf numFmtId="0" fontId="5" fillId="0" borderId="0" xfId="0" applyFont="1"/>
    <xf numFmtId="164" fontId="13" fillId="0" borderId="10" xfId="1" applyNumberFormat="1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center" vertical="center"/>
    </xf>
    <xf numFmtId="164" fontId="15" fillId="0" borderId="10" xfId="1" applyNumberFormat="1" applyFont="1" applyFill="1" applyBorder="1" applyAlignment="1">
      <alignment horizontal="center" vertical="center"/>
    </xf>
    <xf numFmtId="164" fontId="13" fillId="0" borderId="9" xfId="1" applyNumberFormat="1" applyFont="1" applyFill="1" applyBorder="1" applyAlignment="1">
      <alignment horizontal="center" vertical="center"/>
    </xf>
    <xf numFmtId="164" fontId="5" fillId="0" borderId="9" xfId="0" applyNumberFormat="1" applyFont="1" applyBorder="1"/>
    <xf numFmtId="164" fontId="5" fillId="0" borderId="0" xfId="0" applyNumberFormat="1" applyFont="1"/>
    <xf numFmtId="164" fontId="12" fillId="0" borderId="9" xfId="1" quotePrefix="1" applyNumberFormat="1" applyFont="1" applyFill="1" applyBorder="1" applyAlignment="1">
      <alignment horizontal="center" vertical="center"/>
    </xf>
    <xf numFmtId="164" fontId="15" fillId="0" borderId="8" xfId="1" applyNumberFormat="1" applyFont="1" applyFill="1" applyBorder="1" applyAlignment="1">
      <alignment horizontal="center" vertical="center"/>
    </xf>
    <xf numFmtId="0" fontId="5" fillId="0" borderId="9" xfId="0" applyFont="1" applyBorder="1"/>
    <xf numFmtId="164" fontId="13" fillId="0" borderId="8" xfId="1" applyNumberFormat="1" applyFont="1" applyFill="1" applyBorder="1" applyAlignment="1">
      <alignment horizontal="center" vertical="center"/>
    </xf>
    <xf numFmtId="0" fontId="30" fillId="0" borderId="0" xfId="0" applyFont="1"/>
    <xf numFmtId="0" fontId="26" fillId="0" borderId="9" xfId="0" applyFont="1" applyBorder="1" applyAlignment="1">
      <alignment vertical="center" wrapText="1"/>
    </xf>
    <xf numFmtId="14" fontId="26" fillId="0" borderId="9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9" xfId="1" applyNumberFormat="1" applyFont="1" applyFill="1" applyBorder="1" applyAlignment="1">
      <alignment horizontal="center" vertical="center" wrapText="1"/>
    </xf>
    <xf numFmtId="164" fontId="30" fillId="0" borderId="9" xfId="1" applyNumberFormat="1" applyFont="1" applyFill="1" applyBorder="1" applyAlignment="1">
      <alignment horizontal="center" vertical="center"/>
    </xf>
    <xf numFmtId="164" fontId="29" fillId="0" borderId="9" xfId="1" applyNumberFormat="1" applyFont="1" applyFill="1" applyBorder="1" applyAlignment="1">
      <alignment horizontal="center" vertical="center"/>
    </xf>
    <xf numFmtId="9" fontId="28" fillId="0" borderId="9" xfId="2" applyFont="1" applyFill="1" applyBorder="1" applyAlignment="1">
      <alignment horizontal="center" vertical="center"/>
    </xf>
    <xf numFmtId="0" fontId="30" fillId="0" borderId="9" xfId="0" applyFont="1" applyBorder="1"/>
    <xf numFmtId="164" fontId="30" fillId="0" borderId="9" xfId="0" applyNumberFormat="1" applyFont="1" applyBorder="1"/>
    <xf numFmtId="164" fontId="28" fillId="0" borderId="9" xfId="1" applyNumberFormat="1" applyFont="1" applyFill="1" applyBorder="1" applyAlignment="1">
      <alignment horizontal="center" vertical="center"/>
    </xf>
    <xf numFmtId="167" fontId="30" fillId="0" borderId="9" xfId="0" applyNumberFormat="1" applyFont="1" applyBorder="1"/>
    <xf numFmtId="164" fontId="15" fillId="0" borderId="9" xfId="1" applyNumberFormat="1" applyFont="1" applyFill="1" applyBorder="1" applyAlignment="1">
      <alignment horizontal="center" vertical="center"/>
    </xf>
    <xf numFmtId="0" fontId="26" fillId="0" borderId="0" xfId="0" applyFont="1"/>
    <xf numFmtId="164" fontId="31" fillId="2" borderId="9" xfId="1" applyNumberFormat="1" applyFont="1" applyFill="1" applyBorder="1" applyAlignment="1">
      <alignment horizontal="center" vertical="center"/>
    </xf>
    <xf numFmtId="43" fontId="5" fillId="0" borderId="0" xfId="1" applyFont="1"/>
    <xf numFmtId="164" fontId="5" fillId="0" borderId="0" xfId="1" applyNumberFormat="1" applyFont="1"/>
    <xf numFmtId="164" fontId="5" fillId="4" borderId="9" xfId="1" applyNumberFormat="1" applyFont="1" applyFill="1" applyBorder="1"/>
    <xf numFmtId="164" fontId="30" fillId="0" borderId="0" xfId="0" applyNumberFormat="1" applyFont="1"/>
    <xf numFmtId="4" fontId="32" fillId="0" borderId="0" xfId="0" applyNumberFormat="1" applyFont="1"/>
    <xf numFmtId="4" fontId="5" fillId="0" borderId="0" xfId="0" applyNumberFormat="1" applyFont="1"/>
    <xf numFmtId="164" fontId="22" fillId="4" borderId="9" xfId="1" applyNumberFormat="1" applyFont="1" applyFill="1" applyBorder="1"/>
    <xf numFmtId="4" fontId="33" fillId="0" borderId="0" xfId="0" applyNumberFormat="1" applyFont="1"/>
    <xf numFmtId="17" fontId="10" fillId="3" borderId="3" xfId="0" applyNumberFormat="1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/>
    </xf>
  </cellXfs>
  <cellStyles count="6">
    <cellStyle name="Millares" xfId="1" builtinId="3"/>
    <cellStyle name="Millares [0]" xfId="5" builtinId="6"/>
    <cellStyle name="Millares 2" xfId="3" xr:uid="{553603B0-7A37-4117-BCF3-45286C8B434F}"/>
    <cellStyle name="Millares 3" xfId="4" xr:uid="{7D855ED2-0A2C-4E55-9CF7-9972F457A2E3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120</xdr:col>
      <xdr:colOff>352425</xdr:colOff>
      <xdr:row>2</xdr:row>
      <xdr:rowOff>0</xdr:rowOff>
    </xdr:from>
    <xdr:to>
      <xdr:col>125</xdr:col>
      <xdr:colOff>628650</xdr:colOff>
      <xdr:row>13</xdr:row>
      <xdr:rowOff>742389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AA662B8-BF1B-479E-A5D5-CD244391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25975" y="1200150"/>
          <a:ext cx="408622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42AD-FAD8-44B7-87D7-1AE933D9F424}">
  <dimension ref="A1:DN67"/>
  <sheetViews>
    <sheetView zoomScale="85" zoomScaleNormal="85" workbookViewId="0">
      <selection activeCell="A10" sqref="A10:XFD10"/>
    </sheetView>
  </sheetViews>
  <sheetFormatPr baseColWidth="10" defaultRowHeight="13.8" x14ac:dyDescent="0.3"/>
  <cols>
    <col min="1" max="1" width="1.5546875" style="1" customWidth="1"/>
    <col min="2" max="2" width="28.44140625" style="6" customWidth="1"/>
    <col min="3" max="3" width="13.44140625" style="6" customWidth="1"/>
    <col min="4" max="4" width="23.5546875" style="6" customWidth="1"/>
    <col min="5" max="5" width="2.44140625" style="6" customWidth="1"/>
    <col min="6" max="6" width="12.88671875" style="1" bestFit="1" customWidth="1"/>
    <col min="7" max="7" width="13.44140625" style="1" bestFit="1" customWidth="1"/>
    <col min="8" max="8" width="8.88671875" style="1" customWidth="1"/>
    <col min="9" max="9" width="4.88671875" style="1" customWidth="1"/>
    <col min="10" max="10" width="3.6640625" style="1" customWidth="1"/>
    <col min="11" max="11" width="17.88671875" style="1" bestFit="1" customWidth="1"/>
    <col min="12" max="12" width="8.5546875" style="1" customWidth="1"/>
    <col min="13" max="13" width="7.6640625" style="1" customWidth="1"/>
    <col min="14" max="14" width="2.109375" style="3" customWidth="1"/>
    <col min="15" max="15" width="10" style="6" customWidth="1"/>
    <col min="16" max="16" width="11.33203125" style="6" customWidth="1"/>
    <col min="17" max="23" width="8.6640625" style="6" hidden="1" customWidth="1"/>
    <col min="24" max="24" width="7.6640625" style="6" hidden="1" customWidth="1"/>
    <col min="25" max="25" width="2.88671875" style="6" hidden="1" customWidth="1"/>
    <col min="26" max="26" width="5.109375" style="6" hidden="1" customWidth="1"/>
    <col min="27" max="27" width="11.44140625" style="6" hidden="1" customWidth="1"/>
    <col min="28" max="30" width="13.5546875" style="3" hidden="1" customWidth="1"/>
    <col min="31" max="32" width="1" style="3" hidden="1" customWidth="1"/>
    <col min="33" max="33" width="10.5546875" style="3" bestFit="1" customWidth="1"/>
    <col min="34" max="38" width="9" style="3" bestFit="1" customWidth="1"/>
    <col min="39" max="39" width="10.5546875" style="3" bestFit="1" customWidth="1"/>
    <col min="40" max="41" width="9" style="3" bestFit="1" customWidth="1"/>
    <col min="42" max="42" width="10.33203125" style="3" bestFit="1" customWidth="1"/>
    <col min="43" max="43" width="15.5546875" style="3" customWidth="1"/>
    <col min="44" max="44" width="13.33203125" style="3" bestFit="1" customWidth="1"/>
    <col min="45" max="45" width="10.33203125" style="3" customWidth="1"/>
    <col min="46" max="46" width="12" style="3" customWidth="1"/>
    <col min="47" max="47" width="12.6640625" style="3" customWidth="1"/>
    <col min="48" max="48" width="11.33203125" style="3" customWidth="1"/>
    <col min="49" max="49" width="10.88671875" style="3" customWidth="1"/>
    <col min="50" max="52" width="11.33203125" style="3" customWidth="1"/>
    <col min="53" max="53" width="12.6640625" style="3" customWidth="1"/>
    <col min="54" max="56" width="11.33203125" style="3" customWidth="1"/>
    <col min="57" max="57" width="14.109375" style="3" customWidth="1"/>
    <col min="58" max="58" width="13.33203125" style="3" customWidth="1"/>
    <col min="59" max="59" width="11.44140625" style="3" customWidth="1"/>
    <col min="60" max="60" width="13.6640625" style="3" customWidth="1"/>
    <col min="61" max="61" width="16.109375" style="3" customWidth="1"/>
    <col min="62" max="62" width="16.44140625" style="3" customWidth="1"/>
    <col min="63" max="66" width="11.44140625" style="3" customWidth="1"/>
    <col min="67" max="67" width="13.6640625" style="3" customWidth="1"/>
    <col min="68" max="68" width="11.44140625" style="3" customWidth="1"/>
    <col min="69" max="69" width="13.33203125" style="3" customWidth="1"/>
    <col min="70" max="70" width="11.44140625" style="3"/>
    <col min="71" max="71" width="16.5546875" style="3" customWidth="1"/>
    <col min="72" max="72" width="14" style="3" customWidth="1"/>
    <col min="73" max="73" width="14.33203125" style="3" bestFit="1" customWidth="1"/>
    <col min="74" max="74" width="11.44140625" style="3"/>
    <col min="75" max="75" width="12.6640625" style="3" customWidth="1"/>
    <col min="76" max="76" width="12" style="3" customWidth="1"/>
    <col min="77" max="88" width="11.44140625" style="3"/>
    <col min="89" max="89" width="12.5546875" style="3" customWidth="1"/>
    <col min="90" max="90" width="14.6640625" style="3" customWidth="1"/>
    <col min="91" max="100" width="13.33203125" style="3" customWidth="1"/>
    <col min="101" max="101" width="16.33203125" style="3" customWidth="1"/>
    <col min="102" max="102" width="17" style="3" customWidth="1"/>
    <col min="103" max="103" width="15.44140625" style="3" customWidth="1"/>
    <col min="104" max="104" width="15.88671875" style="3" customWidth="1"/>
    <col min="105" max="105" width="13.33203125" style="3" bestFit="1" customWidth="1"/>
    <col min="106" max="114" width="13.33203125" style="3" hidden="1" customWidth="1"/>
    <col min="115" max="115" width="16.33203125" style="3" hidden="1" customWidth="1"/>
    <col min="116" max="116" width="17" style="3" hidden="1" customWidth="1"/>
    <col min="117" max="117" width="15.44140625" style="3" customWidth="1"/>
    <col min="118" max="118" width="15.88671875" style="3" customWidth="1"/>
    <col min="119" max="254" width="11.44140625" style="3"/>
    <col min="255" max="255" width="4.109375" style="3" customWidth="1"/>
    <col min="256" max="256" width="23.33203125" style="3" customWidth="1"/>
    <col min="257" max="257" width="13.44140625" style="3" customWidth="1"/>
    <col min="258" max="258" width="19" style="3" customWidth="1"/>
    <col min="259" max="259" width="10.5546875" style="3" customWidth="1"/>
    <col min="260" max="260" width="14.109375" style="3" bestFit="1" customWidth="1"/>
    <col min="261" max="261" width="16.88671875" style="3" customWidth="1"/>
    <col min="262" max="262" width="20.5546875" style="3" customWidth="1"/>
    <col min="263" max="263" width="5.109375" style="3" customWidth="1"/>
    <col min="264" max="264" width="5.6640625" style="3" customWidth="1"/>
    <col min="265" max="265" width="16.6640625" style="3" customWidth="1"/>
    <col min="266" max="266" width="22.109375" style="3" customWidth="1"/>
    <col min="267" max="267" width="34.33203125" style="3" customWidth="1"/>
    <col min="268" max="268" width="26.109375" style="3" customWidth="1"/>
    <col min="269" max="269" width="11" style="3" customWidth="1"/>
    <col min="270" max="270" width="24.5546875" style="3" customWidth="1"/>
    <col min="271" max="271" width="4.44140625" style="3" customWidth="1"/>
    <col min="272" max="279" width="10.6640625" style="3" customWidth="1"/>
    <col min="280" max="280" width="11.6640625" style="3" customWidth="1"/>
    <col min="281" max="281" width="10.6640625" style="3" customWidth="1"/>
    <col min="282" max="282" width="11.33203125" style="3" customWidth="1"/>
    <col min="283" max="283" width="10.6640625" style="3" customWidth="1"/>
    <col min="284" max="284" width="20.44140625" style="3" customWidth="1"/>
    <col min="285" max="285" width="11.33203125" style="3" customWidth="1"/>
    <col min="286" max="286" width="11" style="3" customWidth="1"/>
    <col min="287" max="288" width="12" style="3" customWidth="1"/>
    <col min="289" max="289" width="9.44140625" style="3" customWidth="1"/>
    <col min="290" max="290" width="10.6640625" style="3" customWidth="1"/>
    <col min="291" max="300" width="9" style="3" customWidth="1"/>
    <col min="301" max="301" width="20.44140625" style="3" customWidth="1"/>
    <col min="302" max="302" width="12.44140625" style="3" customWidth="1"/>
    <col min="303" max="303" width="13.109375" style="3" customWidth="1"/>
    <col min="304" max="316" width="11.44140625" style="3"/>
    <col min="317" max="317" width="16.109375" style="3" customWidth="1"/>
    <col min="318" max="318" width="16.44140625" style="3" customWidth="1"/>
    <col min="319" max="330" width="11.44140625" style="3"/>
    <col min="331" max="331" width="12.6640625" style="3" customWidth="1"/>
    <col min="332" max="332" width="12" style="3" customWidth="1"/>
    <col min="333" max="344" width="11.44140625" style="3"/>
    <col min="345" max="345" width="12.5546875" style="3" customWidth="1"/>
    <col min="346" max="346" width="14.6640625" style="3" customWidth="1"/>
    <col min="347" max="356" width="13.33203125" style="3" customWidth="1"/>
    <col min="357" max="357" width="16.33203125" style="3" customWidth="1"/>
    <col min="358" max="358" width="17" style="3" customWidth="1"/>
    <col min="359" max="359" width="15.44140625" style="3" customWidth="1"/>
    <col min="360" max="360" width="15.88671875" style="3" customWidth="1"/>
    <col min="361" max="361" width="13.33203125" style="3" bestFit="1" customWidth="1"/>
    <col min="362" max="372" width="0" style="3" hidden="1" customWidth="1"/>
    <col min="373" max="373" width="15.44140625" style="3" customWidth="1"/>
    <col min="374" max="374" width="15.88671875" style="3" customWidth="1"/>
    <col min="375" max="510" width="11.44140625" style="3"/>
    <col min="511" max="511" width="4.109375" style="3" customWidth="1"/>
    <col min="512" max="512" width="23.33203125" style="3" customWidth="1"/>
    <col min="513" max="513" width="13.44140625" style="3" customWidth="1"/>
    <col min="514" max="514" width="19" style="3" customWidth="1"/>
    <col min="515" max="515" width="10.5546875" style="3" customWidth="1"/>
    <col min="516" max="516" width="14.109375" style="3" bestFit="1" customWidth="1"/>
    <col min="517" max="517" width="16.88671875" style="3" customWidth="1"/>
    <col min="518" max="518" width="20.5546875" style="3" customWidth="1"/>
    <col min="519" max="519" width="5.109375" style="3" customWidth="1"/>
    <col min="520" max="520" width="5.6640625" style="3" customWidth="1"/>
    <col min="521" max="521" width="16.6640625" style="3" customWidth="1"/>
    <col min="522" max="522" width="22.109375" style="3" customWidth="1"/>
    <col min="523" max="523" width="34.33203125" style="3" customWidth="1"/>
    <col min="524" max="524" width="26.109375" style="3" customWidth="1"/>
    <col min="525" max="525" width="11" style="3" customWidth="1"/>
    <col min="526" max="526" width="24.5546875" style="3" customWidth="1"/>
    <col min="527" max="527" width="4.44140625" style="3" customWidth="1"/>
    <col min="528" max="535" width="10.6640625" style="3" customWidth="1"/>
    <col min="536" max="536" width="11.6640625" style="3" customWidth="1"/>
    <col min="537" max="537" width="10.6640625" style="3" customWidth="1"/>
    <col min="538" max="538" width="11.33203125" style="3" customWidth="1"/>
    <col min="539" max="539" width="10.6640625" style="3" customWidth="1"/>
    <col min="540" max="540" width="20.44140625" style="3" customWidth="1"/>
    <col min="541" max="541" width="11.33203125" style="3" customWidth="1"/>
    <col min="542" max="542" width="11" style="3" customWidth="1"/>
    <col min="543" max="544" width="12" style="3" customWidth="1"/>
    <col min="545" max="545" width="9.44140625" style="3" customWidth="1"/>
    <col min="546" max="546" width="10.6640625" style="3" customWidth="1"/>
    <col min="547" max="556" width="9" style="3" customWidth="1"/>
    <col min="557" max="557" width="20.44140625" style="3" customWidth="1"/>
    <col min="558" max="558" width="12.44140625" style="3" customWidth="1"/>
    <col min="559" max="559" width="13.109375" style="3" customWidth="1"/>
    <col min="560" max="572" width="11.44140625" style="3"/>
    <col min="573" max="573" width="16.109375" style="3" customWidth="1"/>
    <col min="574" max="574" width="16.44140625" style="3" customWidth="1"/>
    <col min="575" max="586" width="11.44140625" style="3"/>
    <col min="587" max="587" width="12.6640625" style="3" customWidth="1"/>
    <col min="588" max="588" width="12" style="3" customWidth="1"/>
    <col min="589" max="600" width="11.44140625" style="3"/>
    <col min="601" max="601" width="12.5546875" style="3" customWidth="1"/>
    <col min="602" max="602" width="14.6640625" style="3" customWidth="1"/>
    <col min="603" max="612" width="13.33203125" style="3" customWidth="1"/>
    <col min="613" max="613" width="16.33203125" style="3" customWidth="1"/>
    <col min="614" max="614" width="17" style="3" customWidth="1"/>
    <col min="615" max="615" width="15.44140625" style="3" customWidth="1"/>
    <col min="616" max="616" width="15.88671875" style="3" customWidth="1"/>
    <col min="617" max="617" width="13.33203125" style="3" bestFit="1" customWidth="1"/>
    <col min="618" max="628" width="0" style="3" hidden="1" customWidth="1"/>
    <col min="629" max="629" width="15.44140625" style="3" customWidth="1"/>
    <col min="630" max="630" width="15.88671875" style="3" customWidth="1"/>
    <col min="631" max="766" width="11.44140625" style="3"/>
    <col min="767" max="767" width="4.109375" style="3" customWidth="1"/>
    <col min="768" max="768" width="23.33203125" style="3" customWidth="1"/>
    <col min="769" max="769" width="13.44140625" style="3" customWidth="1"/>
    <col min="770" max="770" width="19" style="3" customWidth="1"/>
    <col min="771" max="771" width="10.5546875" style="3" customWidth="1"/>
    <col min="772" max="772" width="14.109375" style="3" bestFit="1" customWidth="1"/>
    <col min="773" max="773" width="16.88671875" style="3" customWidth="1"/>
    <col min="774" max="774" width="20.5546875" style="3" customWidth="1"/>
    <col min="775" max="775" width="5.109375" style="3" customWidth="1"/>
    <col min="776" max="776" width="5.6640625" style="3" customWidth="1"/>
    <col min="777" max="777" width="16.6640625" style="3" customWidth="1"/>
    <col min="778" max="778" width="22.109375" style="3" customWidth="1"/>
    <col min="779" max="779" width="34.33203125" style="3" customWidth="1"/>
    <col min="780" max="780" width="26.109375" style="3" customWidth="1"/>
    <col min="781" max="781" width="11" style="3" customWidth="1"/>
    <col min="782" max="782" width="24.5546875" style="3" customWidth="1"/>
    <col min="783" max="783" width="4.44140625" style="3" customWidth="1"/>
    <col min="784" max="791" width="10.6640625" style="3" customWidth="1"/>
    <col min="792" max="792" width="11.6640625" style="3" customWidth="1"/>
    <col min="793" max="793" width="10.6640625" style="3" customWidth="1"/>
    <col min="794" max="794" width="11.33203125" style="3" customWidth="1"/>
    <col min="795" max="795" width="10.6640625" style="3" customWidth="1"/>
    <col min="796" max="796" width="20.44140625" style="3" customWidth="1"/>
    <col min="797" max="797" width="11.33203125" style="3" customWidth="1"/>
    <col min="798" max="798" width="11" style="3" customWidth="1"/>
    <col min="799" max="800" width="12" style="3" customWidth="1"/>
    <col min="801" max="801" width="9.44140625" style="3" customWidth="1"/>
    <col min="802" max="802" width="10.6640625" style="3" customWidth="1"/>
    <col min="803" max="812" width="9" style="3" customWidth="1"/>
    <col min="813" max="813" width="20.44140625" style="3" customWidth="1"/>
    <col min="814" max="814" width="12.44140625" style="3" customWidth="1"/>
    <col min="815" max="815" width="13.109375" style="3" customWidth="1"/>
    <col min="816" max="828" width="11.44140625" style="3"/>
    <col min="829" max="829" width="16.109375" style="3" customWidth="1"/>
    <col min="830" max="830" width="16.44140625" style="3" customWidth="1"/>
    <col min="831" max="842" width="11.44140625" style="3"/>
    <col min="843" max="843" width="12.6640625" style="3" customWidth="1"/>
    <col min="844" max="844" width="12" style="3" customWidth="1"/>
    <col min="845" max="856" width="11.44140625" style="3"/>
    <col min="857" max="857" width="12.5546875" style="3" customWidth="1"/>
    <col min="858" max="858" width="14.6640625" style="3" customWidth="1"/>
    <col min="859" max="868" width="13.33203125" style="3" customWidth="1"/>
    <col min="869" max="869" width="16.33203125" style="3" customWidth="1"/>
    <col min="870" max="870" width="17" style="3" customWidth="1"/>
    <col min="871" max="871" width="15.44140625" style="3" customWidth="1"/>
    <col min="872" max="872" width="15.88671875" style="3" customWidth="1"/>
    <col min="873" max="873" width="13.33203125" style="3" bestFit="1" customWidth="1"/>
    <col min="874" max="884" width="0" style="3" hidden="1" customWidth="1"/>
    <col min="885" max="885" width="15.44140625" style="3" customWidth="1"/>
    <col min="886" max="886" width="15.88671875" style="3" customWidth="1"/>
    <col min="887" max="1022" width="11.44140625" style="3"/>
    <col min="1023" max="1023" width="4.109375" style="3" customWidth="1"/>
    <col min="1024" max="1024" width="23.33203125" style="3" customWidth="1"/>
    <col min="1025" max="1025" width="13.44140625" style="3" customWidth="1"/>
    <col min="1026" max="1026" width="19" style="3" customWidth="1"/>
    <col min="1027" max="1027" width="10.5546875" style="3" customWidth="1"/>
    <col min="1028" max="1028" width="14.109375" style="3" bestFit="1" customWidth="1"/>
    <col min="1029" max="1029" width="16.88671875" style="3" customWidth="1"/>
    <col min="1030" max="1030" width="20.5546875" style="3" customWidth="1"/>
    <col min="1031" max="1031" width="5.109375" style="3" customWidth="1"/>
    <col min="1032" max="1032" width="5.6640625" style="3" customWidth="1"/>
    <col min="1033" max="1033" width="16.6640625" style="3" customWidth="1"/>
    <col min="1034" max="1034" width="22.109375" style="3" customWidth="1"/>
    <col min="1035" max="1035" width="34.33203125" style="3" customWidth="1"/>
    <col min="1036" max="1036" width="26.109375" style="3" customWidth="1"/>
    <col min="1037" max="1037" width="11" style="3" customWidth="1"/>
    <col min="1038" max="1038" width="24.5546875" style="3" customWidth="1"/>
    <col min="1039" max="1039" width="4.44140625" style="3" customWidth="1"/>
    <col min="1040" max="1047" width="10.6640625" style="3" customWidth="1"/>
    <col min="1048" max="1048" width="11.6640625" style="3" customWidth="1"/>
    <col min="1049" max="1049" width="10.6640625" style="3" customWidth="1"/>
    <col min="1050" max="1050" width="11.33203125" style="3" customWidth="1"/>
    <col min="1051" max="1051" width="10.6640625" style="3" customWidth="1"/>
    <col min="1052" max="1052" width="20.44140625" style="3" customWidth="1"/>
    <col min="1053" max="1053" width="11.33203125" style="3" customWidth="1"/>
    <col min="1054" max="1054" width="11" style="3" customWidth="1"/>
    <col min="1055" max="1056" width="12" style="3" customWidth="1"/>
    <col min="1057" max="1057" width="9.44140625" style="3" customWidth="1"/>
    <col min="1058" max="1058" width="10.6640625" style="3" customWidth="1"/>
    <col min="1059" max="1068" width="9" style="3" customWidth="1"/>
    <col min="1069" max="1069" width="20.44140625" style="3" customWidth="1"/>
    <col min="1070" max="1070" width="12.44140625" style="3" customWidth="1"/>
    <col min="1071" max="1071" width="13.109375" style="3" customWidth="1"/>
    <col min="1072" max="1084" width="11.44140625" style="3"/>
    <col min="1085" max="1085" width="16.109375" style="3" customWidth="1"/>
    <col min="1086" max="1086" width="16.44140625" style="3" customWidth="1"/>
    <col min="1087" max="1098" width="11.44140625" style="3"/>
    <col min="1099" max="1099" width="12.6640625" style="3" customWidth="1"/>
    <col min="1100" max="1100" width="12" style="3" customWidth="1"/>
    <col min="1101" max="1112" width="11.44140625" style="3"/>
    <col min="1113" max="1113" width="12.5546875" style="3" customWidth="1"/>
    <col min="1114" max="1114" width="14.6640625" style="3" customWidth="1"/>
    <col min="1115" max="1124" width="13.33203125" style="3" customWidth="1"/>
    <col min="1125" max="1125" width="16.33203125" style="3" customWidth="1"/>
    <col min="1126" max="1126" width="17" style="3" customWidth="1"/>
    <col min="1127" max="1127" width="15.44140625" style="3" customWidth="1"/>
    <col min="1128" max="1128" width="15.88671875" style="3" customWidth="1"/>
    <col min="1129" max="1129" width="13.33203125" style="3" bestFit="1" customWidth="1"/>
    <col min="1130" max="1140" width="0" style="3" hidden="1" customWidth="1"/>
    <col min="1141" max="1141" width="15.44140625" style="3" customWidth="1"/>
    <col min="1142" max="1142" width="15.88671875" style="3" customWidth="1"/>
    <col min="1143" max="1278" width="11.44140625" style="3"/>
    <col min="1279" max="1279" width="4.109375" style="3" customWidth="1"/>
    <col min="1280" max="1280" width="23.33203125" style="3" customWidth="1"/>
    <col min="1281" max="1281" width="13.44140625" style="3" customWidth="1"/>
    <col min="1282" max="1282" width="19" style="3" customWidth="1"/>
    <col min="1283" max="1283" width="10.5546875" style="3" customWidth="1"/>
    <col min="1284" max="1284" width="14.109375" style="3" bestFit="1" customWidth="1"/>
    <col min="1285" max="1285" width="16.88671875" style="3" customWidth="1"/>
    <col min="1286" max="1286" width="20.5546875" style="3" customWidth="1"/>
    <col min="1287" max="1287" width="5.109375" style="3" customWidth="1"/>
    <col min="1288" max="1288" width="5.6640625" style="3" customWidth="1"/>
    <col min="1289" max="1289" width="16.6640625" style="3" customWidth="1"/>
    <col min="1290" max="1290" width="22.109375" style="3" customWidth="1"/>
    <col min="1291" max="1291" width="34.33203125" style="3" customWidth="1"/>
    <col min="1292" max="1292" width="26.109375" style="3" customWidth="1"/>
    <col min="1293" max="1293" width="11" style="3" customWidth="1"/>
    <col min="1294" max="1294" width="24.5546875" style="3" customWidth="1"/>
    <col min="1295" max="1295" width="4.44140625" style="3" customWidth="1"/>
    <col min="1296" max="1303" width="10.6640625" style="3" customWidth="1"/>
    <col min="1304" max="1304" width="11.6640625" style="3" customWidth="1"/>
    <col min="1305" max="1305" width="10.6640625" style="3" customWidth="1"/>
    <col min="1306" max="1306" width="11.33203125" style="3" customWidth="1"/>
    <col min="1307" max="1307" width="10.6640625" style="3" customWidth="1"/>
    <col min="1308" max="1308" width="20.44140625" style="3" customWidth="1"/>
    <col min="1309" max="1309" width="11.33203125" style="3" customWidth="1"/>
    <col min="1310" max="1310" width="11" style="3" customWidth="1"/>
    <col min="1311" max="1312" width="12" style="3" customWidth="1"/>
    <col min="1313" max="1313" width="9.44140625" style="3" customWidth="1"/>
    <col min="1314" max="1314" width="10.6640625" style="3" customWidth="1"/>
    <col min="1315" max="1324" width="9" style="3" customWidth="1"/>
    <col min="1325" max="1325" width="20.44140625" style="3" customWidth="1"/>
    <col min="1326" max="1326" width="12.44140625" style="3" customWidth="1"/>
    <col min="1327" max="1327" width="13.109375" style="3" customWidth="1"/>
    <col min="1328" max="1340" width="11.44140625" style="3"/>
    <col min="1341" max="1341" width="16.109375" style="3" customWidth="1"/>
    <col min="1342" max="1342" width="16.44140625" style="3" customWidth="1"/>
    <col min="1343" max="1354" width="11.44140625" style="3"/>
    <col min="1355" max="1355" width="12.6640625" style="3" customWidth="1"/>
    <col min="1356" max="1356" width="12" style="3" customWidth="1"/>
    <col min="1357" max="1368" width="11.44140625" style="3"/>
    <col min="1369" max="1369" width="12.5546875" style="3" customWidth="1"/>
    <col min="1370" max="1370" width="14.6640625" style="3" customWidth="1"/>
    <col min="1371" max="1380" width="13.33203125" style="3" customWidth="1"/>
    <col min="1381" max="1381" width="16.33203125" style="3" customWidth="1"/>
    <col min="1382" max="1382" width="17" style="3" customWidth="1"/>
    <col min="1383" max="1383" width="15.44140625" style="3" customWidth="1"/>
    <col min="1384" max="1384" width="15.88671875" style="3" customWidth="1"/>
    <col min="1385" max="1385" width="13.33203125" style="3" bestFit="1" customWidth="1"/>
    <col min="1386" max="1396" width="0" style="3" hidden="1" customWidth="1"/>
    <col min="1397" max="1397" width="15.44140625" style="3" customWidth="1"/>
    <col min="1398" max="1398" width="15.88671875" style="3" customWidth="1"/>
    <col min="1399" max="1534" width="11.44140625" style="3"/>
    <col min="1535" max="1535" width="4.109375" style="3" customWidth="1"/>
    <col min="1536" max="1536" width="23.33203125" style="3" customWidth="1"/>
    <col min="1537" max="1537" width="13.44140625" style="3" customWidth="1"/>
    <col min="1538" max="1538" width="19" style="3" customWidth="1"/>
    <col min="1539" max="1539" width="10.5546875" style="3" customWidth="1"/>
    <col min="1540" max="1540" width="14.109375" style="3" bestFit="1" customWidth="1"/>
    <col min="1541" max="1541" width="16.88671875" style="3" customWidth="1"/>
    <col min="1542" max="1542" width="20.5546875" style="3" customWidth="1"/>
    <col min="1543" max="1543" width="5.109375" style="3" customWidth="1"/>
    <col min="1544" max="1544" width="5.6640625" style="3" customWidth="1"/>
    <col min="1545" max="1545" width="16.6640625" style="3" customWidth="1"/>
    <col min="1546" max="1546" width="22.109375" style="3" customWidth="1"/>
    <col min="1547" max="1547" width="34.33203125" style="3" customWidth="1"/>
    <col min="1548" max="1548" width="26.109375" style="3" customWidth="1"/>
    <col min="1549" max="1549" width="11" style="3" customWidth="1"/>
    <col min="1550" max="1550" width="24.5546875" style="3" customWidth="1"/>
    <col min="1551" max="1551" width="4.44140625" style="3" customWidth="1"/>
    <col min="1552" max="1559" width="10.6640625" style="3" customWidth="1"/>
    <col min="1560" max="1560" width="11.6640625" style="3" customWidth="1"/>
    <col min="1561" max="1561" width="10.6640625" style="3" customWidth="1"/>
    <col min="1562" max="1562" width="11.33203125" style="3" customWidth="1"/>
    <col min="1563" max="1563" width="10.6640625" style="3" customWidth="1"/>
    <col min="1564" max="1564" width="20.44140625" style="3" customWidth="1"/>
    <col min="1565" max="1565" width="11.33203125" style="3" customWidth="1"/>
    <col min="1566" max="1566" width="11" style="3" customWidth="1"/>
    <col min="1567" max="1568" width="12" style="3" customWidth="1"/>
    <col min="1569" max="1569" width="9.44140625" style="3" customWidth="1"/>
    <col min="1570" max="1570" width="10.6640625" style="3" customWidth="1"/>
    <col min="1571" max="1580" width="9" style="3" customWidth="1"/>
    <col min="1581" max="1581" width="20.44140625" style="3" customWidth="1"/>
    <col min="1582" max="1582" width="12.44140625" style="3" customWidth="1"/>
    <col min="1583" max="1583" width="13.109375" style="3" customWidth="1"/>
    <col min="1584" max="1596" width="11.44140625" style="3"/>
    <col min="1597" max="1597" width="16.109375" style="3" customWidth="1"/>
    <col min="1598" max="1598" width="16.44140625" style="3" customWidth="1"/>
    <col min="1599" max="1610" width="11.44140625" style="3"/>
    <col min="1611" max="1611" width="12.6640625" style="3" customWidth="1"/>
    <col min="1612" max="1612" width="12" style="3" customWidth="1"/>
    <col min="1613" max="1624" width="11.44140625" style="3"/>
    <col min="1625" max="1625" width="12.5546875" style="3" customWidth="1"/>
    <col min="1626" max="1626" width="14.6640625" style="3" customWidth="1"/>
    <col min="1627" max="1636" width="13.33203125" style="3" customWidth="1"/>
    <col min="1637" max="1637" width="16.33203125" style="3" customWidth="1"/>
    <col min="1638" max="1638" width="17" style="3" customWidth="1"/>
    <col min="1639" max="1639" width="15.44140625" style="3" customWidth="1"/>
    <col min="1640" max="1640" width="15.88671875" style="3" customWidth="1"/>
    <col min="1641" max="1641" width="13.33203125" style="3" bestFit="1" customWidth="1"/>
    <col min="1642" max="1652" width="0" style="3" hidden="1" customWidth="1"/>
    <col min="1653" max="1653" width="15.44140625" style="3" customWidth="1"/>
    <col min="1654" max="1654" width="15.88671875" style="3" customWidth="1"/>
    <col min="1655" max="1790" width="11.44140625" style="3"/>
    <col min="1791" max="1791" width="4.109375" style="3" customWidth="1"/>
    <col min="1792" max="1792" width="23.33203125" style="3" customWidth="1"/>
    <col min="1793" max="1793" width="13.44140625" style="3" customWidth="1"/>
    <col min="1794" max="1794" width="19" style="3" customWidth="1"/>
    <col min="1795" max="1795" width="10.5546875" style="3" customWidth="1"/>
    <col min="1796" max="1796" width="14.109375" style="3" bestFit="1" customWidth="1"/>
    <col min="1797" max="1797" width="16.88671875" style="3" customWidth="1"/>
    <col min="1798" max="1798" width="20.5546875" style="3" customWidth="1"/>
    <col min="1799" max="1799" width="5.109375" style="3" customWidth="1"/>
    <col min="1800" max="1800" width="5.6640625" style="3" customWidth="1"/>
    <col min="1801" max="1801" width="16.6640625" style="3" customWidth="1"/>
    <col min="1802" max="1802" width="22.109375" style="3" customWidth="1"/>
    <col min="1803" max="1803" width="34.33203125" style="3" customWidth="1"/>
    <col min="1804" max="1804" width="26.109375" style="3" customWidth="1"/>
    <col min="1805" max="1805" width="11" style="3" customWidth="1"/>
    <col min="1806" max="1806" width="24.5546875" style="3" customWidth="1"/>
    <col min="1807" max="1807" width="4.44140625" style="3" customWidth="1"/>
    <col min="1808" max="1815" width="10.6640625" style="3" customWidth="1"/>
    <col min="1816" max="1816" width="11.6640625" style="3" customWidth="1"/>
    <col min="1817" max="1817" width="10.6640625" style="3" customWidth="1"/>
    <col min="1818" max="1818" width="11.33203125" style="3" customWidth="1"/>
    <col min="1819" max="1819" width="10.6640625" style="3" customWidth="1"/>
    <col min="1820" max="1820" width="20.44140625" style="3" customWidth="1"/>
    <col min="1821" max="1821" width="11.33203125" style="3" customWidth="1"/>
    <col min="1822" max="1822" width="11" style="3" customWidth="1"/>
    <col min="1823" max="1824" width="12" style="3" customWidth="1"/>
    <col min="1825" max="1825" width="9.44140625" style="3" customWidth="1"/>
    <col min="1826" max="1826" width="10.6640625" style="3" customWidth="1"/>
    <col min="1827" max="1836" width="9" style="3" customWidth="1"/>
    <col min="1837" max="1837" width="20.44140625" style="3" customWidth="1"/>
    <col min="1838" max="1838" width="12.44140625" style="3" customWidth="1"/>
    <col min="1839" max="1839" width="13.109375" style="3" customWidth="1"/>
    <col min="1840" max="1852" width="11.44140625" style="3"/>
    <col min="1853" max="1853" width="16.109375" style="3" customWidth="1"/>
    <col min="1854" max="1854" width="16.44140625" style="3" customWidth="1"/>
    <col min="1855" max="1866" width="11.44140625" style="3"/>
    <col min="1867" max="1867" width="12.6640625" style="3" customWidth="1"/>
    <col min="1868" max="1868" width="12" style="3" customWidth="1"/>
    <col min="1869" max="1880" width="11.44140625" style="3"/>
    <col min="1881" max="1881" width="12.5546875" style="3" customWidth="1"/>
    <col min="1882" max="1882" width="14.6640625" style="3" customWidth="1"/>
    <col min="1883" max="1892" width="13.33203125" style="3" customWidth="1"/>
    <col min="1893" max="1893" width="16.33203125" style="3" customWidth="1"/>
    <col min="1894" max="1894" width="17" style="3" customWidth="1"/>
    <col min="1895" max="1895" width="15.44140625" style="3" customWidth="1"/>
    <col min="1896" max="1896" width="15.88671875" style="3" customWidth="1"/>
    <col min="1897" max="1897" width="13.33203125" style="3" bestFit="1" customWidth="1"/>
    <col min="1898" max="1908" width="0" style="3" hidden="1" customWidth="1"/>
    <col min="1909" max="1909" width="15.44140625" style="3" customWidth="1"/>
    <col min="1910" max="1910" width="15.88671875" style="3" customWidth="1"/>
    <col min="1911" max="2046" width="11.44140625" style="3"/>
    <col min="2047" max="2047" width="4.109375" style="3" customWidth="1"/>
    <col min="2048" max="2048" width="23.33203125" style="3" customWidth="1"/>
    <col min="2049" max="2049" width="13.44140625" style="3" customWidth="1"/>
    <col min="2050" max="2050" width="19" style="3" customWidth="1"/>
    <col min="2051" max="2051" width="10.5546875" style="3" customWidth="1"/>
    <col min="2052" max="2052" width="14.109375" style="3" bestFit="1" customWidth="1"/>
    <col min="2053" max="2053" width="16.88671875" style="3" customWidth="1"/>
    <col min="2054" max="2054" width="20.5546875" style="3" customWidth="1"/>
    <col min="2055" max="2055" width="5.109375" style="3" customWidth="1"/>
    <col min="2056" max="2056" width="5.6640625" style="3" customWidth="1"/>
    <col min="2057" max="2057" width="16.6640625" style="3" customWidth="1"/>
    <col min="2058" max="2058" width="22.109375" style="3" customWidth="1"/>
    <col min="2059" max="2059" width="34.33203125" style="3" customWidth="1"/>
    <col min="2060" max="2060" width="26.109375" style="3" customWidth="1"/>
    <col min="2061" max="2061" width="11" style="3" customWidth="1"/>
    <col min="2062" max="2062" width="24.5546875" style="3" customWidth="1"/>
    <col min="2063" max="2063" width="4.44140625" style="3" customWidth="1"/>
    <col min="2064" max="2071" width="10.6640625" style="3" customWidth="1"/>
    <col min="2072" max="2072" width="11.6640625" style="3" customWidth="1"/>
    <col min="2073" max="2073" width="10.6640625" style="3" customWidth="1"/>
    <col min="2074" max="2074" width="11.33203125" style="3" customWidth="1"/>
    <col min="2075" max="2075" width="10.6640625" style="3" customWidth="1"/>
    <col min="2076" max="2076" width="20.44140625" style="3" customWidth="1"/>
    <col min="2077" max="2077" width="11.33203125" style="3" customWidth="1"/>
    <col min="2078" max="2078" width="11" style="3" customWidth="1"/>
    <col min="2079" max="2080" width="12" style="3" customWidth="1"/>
    <col min="2081" max="2081" width="9.44140625" style="3" customWidth="1"/>
    <col min="2082" max="2082" width="10.6640625" style="3" customWidth="1"/>
    <col min="2083" max="2092" width="9" style="3" customWidth="1"/>
    <col min="2093" max="2093" width="20.44140625" style="3" customWidth="1"/>
    <col min="2094" max="2094" width="12.44140625" style="3" customWidth="1"/>
    <col min="2095" max="2095" width="13.109375" style="3" customWidth="1"/>
    <col min="2096" max="2108" width="11.44140625" style="3"/>
    <col min="2109" max="2109" width="16.109375" style="3" customWidth="1"/>
    <col min="2110" max="2110" width="16.44140625" style="3" customWidth="1"/>
    <col min="2111" max="2122" width="11.44140625" style="3"/>
    <col min="2123" max="2123" width="12.6640625" style="3" customWidth="1"/>
    <col min="2124" max="2124" width="12" style="3" customWidth="1"/>
    <col min="2125" max="2136" width="11.44140625" style="3"/>
    <col min="2137" max="2137" width="12.5546875" style="3" customWidth="1"/>
    <col min="2138" max="2138" width="14.6640625" style="3" customWidth="1"/>
    <col min="2139" max="2148" width="13.33203125" style="3" customWidth="1"/>
    <col min="2149" max="2149" width="16.33203125" style="3" customWidth="1"/>
    <col min="2150" max="2150" width="17" style="3" customWidth="1"/>
    <col min="2151" max="2151" width="15.44140625" style="3" customWidth="1"/>
    <col min="2152" max="2152" width="15.88671875" style="3" customWidth="1"/>
    <col min="2153" max="2153" width="13.33203125" style="3" bestFit="1" customWidth="1"/>
    <col min="2154" max="2164" width="0" style="3" hidden="1" customWidth="1"/>
    <col min="2165" max="2165" width="15.44140625" style="3" customWidth="1"/>
    <col min="2166" max="2166" width="15.88671875" style="3" customWidth="1"/>
    <col min="2167" max="2302" width="11.44140625" style="3"/>
    <col min="2303" max="2303" width="4.109375" style="3" customWidth="1"/>
    <col min="2304" max="2304" width="23.33203125" style="3" customWidth="1"/>
    <col min="2305" max="2305" width="13.44140625" style="3" customWidth="1"/>
    <col min="2306" max="2306" width="19" style="3" customWidth="1"/>
    <col min="2307" max="2307" width="10.5546875" style="3" customWidth="1"/>
    <col min="2308" max="2308" width="14.109375" style="3" bestFit="1" customWidth="1"/>
    <col min="2309" max="2309" width="16.88671875" style="3" customWidth="1"/>
    <col min="2310" max="2310" width="20.5546875" style="3" customWidth="1"/>
    <col min="2311" max="2311" width="5.109375" style="3" customWidth="1"/>
    <col min="2312" max="2312" width="5.6640625" style="3" customWidth="1"/>
    <col min="2313" max="2313" width="16.6640625" style="3" customWidth="1"/>
    <col min="2314" max="2314" width="22.109375" style="3" customWidth="1"/>
    <col min="2315" max="2315" width="34.33203125" style="3" customWidth="1"/>
    <col min="2316" max="2316" width="26.109375" style="3" customWidth="1"/>
    <col min="2317" max="2317" width="11" style="3" customWidth="1"/>
    <col min="2318" max="2318" width="24.5546875" style="3" customWidth="1"/>
    <col min="2319" max="2319" width="4.44140625" style="3" customWidth="1"/>
    <col min="2320" max="2327" width="10.6640625" style="3" customWidth="1"/>
    <col min="2328" max="2328" width="11.6640625" style="3" customWidth="1"/>
    <col min="2329" max="2329" width="10.6640625" style="3" customWidth="1"/>
    <col min="2330" max="2330" width="11.33203125" style="3" customWidth="1"/>
    <col min="2331" max="2331" width="10.6640625" style="3" customWidth="1"/>
    <col min="2332" max="2332" width="20.44140625" style="3" customWidth="1"/>
    <col min="2333" max="2333" width="11.33203125" style="3" customWidth="1"/>
    <col min="2334" max="2334" width="11" style="3" customWidth="1"/>
    <col min="2335" max="2336" width="12" style="3" customWidth="1"/>
    <col min="2337" max="2337" width="9.44140625" style="3" customWidth="1"/>
    <col min="2338" max="2338" width="10.6640625" style="3" customWidth="1"/>
    <col min="2339" max="2348" width="9" style="3" customWidth="1"/>
    <col min="2349" max="2349" width="20.44140625" style="3" customWidth="1"/>
    <col min="2350" max="2350" width="12.44140625" style="3" customWidth="1"/>
    <col min="2351" max="2351" width="13.109375" style="3" customWidth="1"/>
    <col min="2352" max="2364" width="11.44140625" style="3"/>
    <col min="2365" max="2365" width="16.109375" style="3" customWidth="1"/>
    <col min="2366" max="2366" width="16.44140625" style="3" customWidth="1"/>
    <col min="2367" max="2378" width="11.44140625" style="3"/>
    <col min="2379" max="2379" width="12.6640625" style="3" customWidth="1"/>
    <col min="2380" max="2380" width="12" style="3" customWidth="1"/>
    <col min="2381" max="2392" width="11.44140625" style="3"/>
    <col min="2393" max="2393" width="12.5546875" style="3" customWidth="1"/>
    <col min="2394" max="2394" width="14.6640625" style="3" customWidth="1"/>
    <col min="2395" max="2404" width="13.33203125" style="3" customWidth="1"/>
    <col min="2405" max="2405" width="16.33203125" style="3" customWidth="1"/>
    <col min="2406" max="2406" width="17" style="3" customWidth="1"/>
    <col min="2407" max="2407" width="15.44140625" style="3" customWidth="1"/>
    <col min="2408" max="2408" width="15.88671875" style="3" customWidth="1"/>
    <col min="2409" max="2409" width="13.33203125" style="3" bestFit="1" customWidth="1"/>
    <col min="2410" max="2420" width="0" style="3" hidden="1" customWidth="1"/>
    <col min="2421" max="2421" width="15.44140625" style="3" customWidth="1"/>
    <col min="2422" max="2422" width="15.88671875" style="3" customWidth="1"/>
    <col min="2423" max="2558" width="11.44140625" style="3"/>
    <col min="2559" max="2559" width="4.109375" style="3" customWidth="1"/>
    <col min="2560" max="2560" width="23.33203125" style="3" customWidth="1"/>
    <col min="2561" max="2561" width="13.44140625" style="3" customWidth="1"/>
    <col min="2562" max="2562" width="19" style="3" customWidth="1"/>
    <col min="2563" max="2563" width="10.5546875" style="3" customWidth="1"/>
    <col min="2564" max="2564" width="14.109375" style="3" bestFit="1" customWidth="1"/>
    <col min="2565" max="2565" width="16.88671875" style="3" customWidth="1"/>
    <col min="2566" max="2566" width="20.5546875" style="3" customWidth="1"/>
    <col min="2567" max="2567" width="5.109375" style="3" customWidth="1"/>
    <col min="2568" max="2568" width="5.6640625" style="3" customWidth="1"/>
    <col min="2569" max="2569" width="16.6640625" style="3" customWidth="1"/>
    <col min="2570" max="2570" width="22.109375" style="3" customWidth="1"/>
    <col min="2571" max="2571" width="34.33203125" style="3" customWidth="1"/>
    <col min="2572" max="2572" width="26.109375" style="3" customWidth="1"/>
    <col min="2573" max="2573" width="11" style="3" customWidth="1"/>
    <col min="2574" max="2574" width="24.5546875" style="3" customWidth="1"/>
    <col min="2575" max="2575" width="4.44140625" style="3" customWidth="1"/>
    <col min="2576" max="2583" width="10.6640625" style="3" customWidth="1"/>
    <col min="2584" max="2584" width="11.6640625" style="3" customWidth="1"/>
    <col min="2585" max="2585" width="10.6640625" style="3" customWidth="1"/>
    <col min="2586" max="2586" width="11.33203125" style="3" customWidth="1"/>
    <col min="2587" max="2587" width="10.6640625" style="3" customWidth="1"/>
    <col min="2588" max="2588" width="20.44140625" style="3" customWidth="1"/>
    <col min="2589" max="2589" width="11.33203125" style="3" customWidth="1"/>
    <col min="2590" max="2590" width="11" style="3" customWidth="1"/>
    <col min="2591" max="2592" width="12" style="3" customWidth="1"/>
    <col min="2593" max="2593" width="9.44140625" style="3" customWidth="1"/>
    <col min="2594" max="2594" width="10.6640625" style="3" customWidth="1"/>
    <col min="2595" max="2604" width="9" style="3" customWidth="1"/>
    <col min="2605" max="2605" width="20.44140625" style="3" customWidth="1"/>
    <col min="2606" max="2606" width="12.44140625" style="3" customWidth="1"/>
    <col min="2607" max="2607" width="13.109375" style="3" customWidth="1"/>
    <col min="2608" max="2620" width="11.44140625" style="3"/>
    <col min="2621" max="2621" width="16.109375" style="3" customWidth="1"/>
    <col min="2622" max="2622" width="16.44140625" style="3" customWidth="1"/>
    <col min="2623" max="2634" width="11.44140625" style="3"/>
    <col min="2635" max="2635" width="12.6640625" style="3" customWidth="1"/>
    <col min="2636" max="2636" width="12" style="3" customWidth="1"/>
    <col min="2637" max="2648" width="11.44140625" style="3"/>
    <col min="2649" max="2649" width="12.5546875" style="3" customWidth="1"/>
    <col min="2650" max="2650" width="14.6640625" style="3" customWidth="1"/>
    <col min="2651" max="2660" width="13.33203125" style="3" customWidth="1"/>
    <col min="2661" max="2661" width="16.33203125" style="3" customWidth="1"/>
    <col min="2662" max="2662" width="17" style="3" customWidth="1"/>
    <col min="2663" max="2663" width="15.44140625" style="3" customWidth="1"/>
    <col min="2664" max="2664" width="15.88671875" style="3" customWidth="1"/>
    <col min="2665" max="2665" width="13.33203125" style="3" bestFit="1" customWidth="1"/>
    <col min="2666" max="2676" width="0" style="3" hidden="1" customWidth="1"/>
    <col min="2677" max="2677" width="15.44140625" style="3" customWidth="1"/>
    <col min="2678" max="2678" width="15.88671875" style="3" customWidth="1"/>
    <col min="2679" max="2814" width="11.44140625" style="3"/>
    <col min="2815" max="2815" width="4.109375" style="3" customWidth="1"/>
    <col min="2816" max="2816" width="23.33203125" style="3" customWidth="1"/>
    <col min="2817" max="2817" width="13.44140625" style="3" customWidth="1"/>
    <col min="2818" max="2818" width="19" style="3" customWidth="1"/>
    <col min="2819" max="2819" width="10.5546875" style="3" customWidth="1"/>
    <col min="2820" max="2820" width="14.109375" style="3" bestFit="1" customWidth="1"/>
    <col min="2821" max="2821" width="16.88671875" style="3" customWidth="1"/>
    <col min="2822" max="2822" width="20.5546875" style="3" customWidth="1"/>
    <col min="2823" max="2823" width="5.109375" style="3" customWidth="1"/>
    <col min="2824" max="2824" width="5.6640625" style="3" customWidth="1"/>
    <col min="2825" max="2825" width="16.6640625" style="3" customWidth="1"/>
    <col min="2826" max="2826" width="22.109375" style="3" customWidth="1"/>
    <col min="2827" max="2827" width="34.33203125" style="3" customWidth="1"/>
    <col min="2828" max="2828" width="26.109375" style="3" customWidth="1"/>
    <col min="2829" max="2829" width="11" style="3" customWidth="1"/>
    <col min="2830" max="2830" width="24.5546875" style="3" customWidth="1"/>
    <col min="2831" max="2831" width="4.44140625" style="3" customWidth="1"/>
    <col min="2832" max="2839" width="10.6640625" style="3" customWidth="1"/>
    <col min="2840" max="2840" width="11.6640625" style="3" customWidth="1"/>
    <col min="2841" max="2841" width="10.6640625" style="3" customWidth="1"/>
    <col min="2842" max="2842" width="11.33203125" style="3" customWidth="1"/>
    <col min="2843" max="2843" width="10.6640625" style="3" customWidth="1"/>
    <col min="2844" max="2844" width="20.44140625" style="3" customWidth="1"/>
    <col min="2845" max="2845" width="11.33203125" style="3" customWidth="1"/>
    <col min="2846" max="2846" width="11" style="3" customWidth="1"/>
    <col min="2847" max="2848" width="12" style="3" customWidth="1"/>
    <col min="2849" max="2849" width="9.44140625" style="3" customWidth="1"/>
    <col min="2850" max="2850" width="10.6640625" style="3" customWidth="1"/>
    <col min="2851" max="2860" width="9" style="3" customWidth="1"/>
    <col min="2861" max="2861" width="20.44140625" style="3" customWidth="1"/>
    <col min="2862" max="2862" width="12.44140625" style="3" customWidth="1"/>
    <col min="2863" max="2863" width="13.109375" style="3" customWidth="1"/>
    <col min="2864" max="2876" width="11.44140625" style="3"/>
    <col min="2877" max="2877" width="16.109375" style="3" customWidth="1"/>
    <col min="2878" max="2878" width="16.44140625" style="3" customWidth="1"/>
    <col min="2879" max="2890" width="11.44140625" style="3"/>
    <col min="2891" max="2891" width="12.6640625" style="3" customWidth="1"/>
    <col min="2892" max="2892" width="12" style="3" customWidth="1"/>
    <col min="2893" max="2904" width="11.44140625" style="3"/>
    <col min="2905" max="2905" width="12.5546875" style="3" customWidth="1"/>
    <col min="2906" max="2906" width="14.6640625" style="3" customWidth="1"/>
    <col min="2907" max="2916" width="13.33203125" style="3" customWidth="1"/>
    <col min="2917" max="2917" width="16.33203125" style="3" customWidth="1"/>
    <col min="2918" max="2918" width="17" style="3" customWidth="1"/>
    <col min="2919" max="2919" width="15.44140625" style="3" customWidth="1"/>
    <col min="2920" max="2920" width="15.88671875" style="3" customWidth="1"/>
    <col min="2921" max="2921" width="13.33203125" style="3" bestFit="1" customWidth="1"/>
    <col min="2922" max="2932" width="0" style="3" hidden="1" customWidth="1"/>
    <col min="2933" max="2933" width="15.44140625" style="3" customWidth="1"/>
    <col min="2934" max="2934" width="15.88671875" style="3" customWidth="1"/>
    <col min="2935" max="3070" width="11.44140625" style="3"/>
    <col min="3071" max="3071" width="4.109375" style="3" customWidth="1"/>
    <col min="3072" max="3072" width="23.33203125" style="3" customWidth="1"/>
    <col min="3073" max="3073" width="13.44140625" style="3" customWidth="1"/>
    <col min="3074" max="3074" width="19" style="3" customWidth="1"/>
    <col min="3075" max="3075" width="10.5546875" style="3" customWidth="1"/>
    <col min="3076" max="3076" width="14.109375" style="3" bestFit="1" customWidth="1"/>
    <col min="3077" max="3077" width="16.88671875" style="3" customWidth="1"/>
    <col min="3078" max="3078" width="20.5546875" style="3" customWidth="1"/>
    <col min="3079" max="3079" width="5.109375" style="3" customWidth="1"/>
    <col min="3080" max="3080" width="5.6640625" style="3" customWidth="1"/>
    <col min="3081" max="3081" width="16.6640625" style="3" customWidth="1"/>
    <col min="3082" max="3082" width="22.109375" style="3" customWidth="1"/>
    <col min="3083" max="3083" width="34.33203125" style="3" customWidth="1"/>
    <col min="3084" max="3084" width="26.109375" style="3" customWidth="1"/>
    <col min="3085" max="3085" width="11" style="3" customWidth="1"/>
    <col min="3086" max="3086" width="24.5546875" style="3" customWidth="1"/>
    <col min="3087" max="3087" width="4.44140625" style="3" customWidth="1"/>
    <col min="3088" max="3095" width="10.6640625" style="3" customWidth="1"/>
    <col min="3096" max="3096" width="11.6640625" style="3" customWidth="1"/>
    <col min="3097" max="3097" width="10.6640625" style="3" customWidth="1"/>
    <col min="3098" max="3098" width="11.33203125" style="3" customWidth="1"/>
    <col min="3099" max="3099" width="10.6640625" style="3" customWidth="1"/>
    <col min="3100" max="3100" width="20.44140625" style="3" customWidth="1"/>
    <col min="3101" max="3101" width="11.33203125" style="3" customWidth="1"/>
    <col min="3102" max="3102" width="11" style="3" customWidth="1"/>
    <col min="3103" max="3104" width="12" style="3" customWidth="1"/>
    <col min="3105" max="3105" width="9.44140625" style="3" customWidth="1"/>
    <col min="3106" max="3106" width="10.6640625" style="3" customWidth="1"/>
    <col min="3107" max="3116" width="9" style="3" customWidth="1"/>
    <col min="3117" max="3117" width="20.44140625" style="3" customWidth="1"/>
    <col min="3118" max="3118" width="12.44140625" style="3" customWidth="1"/>
    <col min="3119" max="3119" width="13.109375" style="3" customWidth="1"/>
    <col min="3120" max="3132" width="11.44140625" style="3"/>
    <col min="3133" max="3133" width="16.109375" style="3" customWidth="1"/>
    <col min="3134" max="3134" width="16.44140625" style="3" customWidth="1"/>
    <col min="3135" max="3146" width="11.44140625" style="3"/>
    <col min="3147" max="3147" width="12.6640625" style="3" customWidth="1"/>
    <col min="3148" max="3148" width="12" style="3" customWidth="1"/>
    <col min="3149" max="3160" width="11.44140625" style="3"/>
    <col min="3161" max="3161" width="12.5546875" style="3" customWidth="1"/>
    <col min="3162" max="3162" width="14.6640625" style="3" customWidth="1"/>
    <col min="3163" max="3172" width="13.33203125" style="3" customWidth="1"/>
    <col min="3173" max="3173" width="16.33203125" style="3" customWidth="1"/>
    <col min="3174" max="3174" width="17" style="3" customWidth="1"/>
    <col min="3175" max="3175" width="15.44140625" style="3" customWidth="1"/>
    <col min="3176" max="3176" width="15.88671875" style="3" customWidth="1"/>
    <col min="3177" max="3177" width="13.33203125" style="3" bestFit="1" customWidth="1"/>
    <col min="3178" max="3188" width="0" style="3" hidden="1" customWidth="1"/>
    <col min="3189" max="3189" width="15.44140625" style="3" customWidth="1"/>
    <col min="3190" max="3190" width="15.88671875" style="3" customWidth="1"/>
    <col min="3191" max="3326" width="11.44140625" style="3"/>
    <col min="3327" max="3327" width="4.109375" style="3" customWidth="1"/>
    <col min="3328" max="3328" width="23.33203125" style="3" customWidth="1"/>
    <col min="3329" max="3329" width="13.44140625" style="3" customWidth="1"/>
    <col min="3330" max="3330" width="19" style="3" customWidth="1"/>
    <col min="3331" max="3331" width="10.5546875" style="3" customWidth="1"/>
    <col min="3332" max="3332" width="14.109375" style="3" bestFit="1" customWidth="1"/>
    <col min="3333" max="3333" width="16.88671875" style="3" customWidth="1"/>
    <col min="3334" max="3334" width="20.5546875" style="3" customWidth="1"/>
    <col min="3335" max="3335" width="5.109375" style="3" customWidth="1"/>
    <col min="3336" max="3336" width="5.6640625" style="3" customWidth="1"/>
    <col min="3337" max="3337" width="16.6640625" style="3" customWidth="1"/>
    <col min="3338" max="3338" width="22.109375" style="3" customWidth="1"/>
    <col min="3339" max="3339" width="34.33203125" style="3" customWidth="1"/>
    <col min="3340" max="3340" width="26.109375" style="3" customWidth="1"/>
    <col min="3341" max="3341" width="11" style="3" customWidth="1"/>
    <col min="3342" max="3342" width="24.5546875" style="3" customWidth="1"/>
    <col min="3343" max="3343" width="4.44140625" style="3" customWidth="1"/>
    <col min="3344" max="3351" width="10.6640625" style="3" customWidth="1"/>
    <col min="3352" max="3352" width="11.6640625" style="3" customWidth="1"/>
    <col min="3353" max="3353" width="10.6640625" style="3" customWidth="1"/>
    <col min="3354" max="3354" width="11.33203125" style="3" customWidth="1"/>
    <col min="3355" max="3355" width="10.6640625" style="3" customWidth="1"/>
    <col min="3356" max="3356" width="20.44140625" style="3" customWidth="1"/>
    <col min="3357" max="3357" width="11.33203125" style="3" customWidth="1"/>
    <col min="3358" max="3358" width="11" style="3" customWidth="1"/>
    <col min="3359" max="3360" width="12" style="3" customWidth="1"/>
    <col min="3361" max="3361" width="9.44140625" style="3" customWidth="1"/>
    <col min="3362" max="3362" width="10.6640625" style="3" customWidth="1"/>
    <col min="3363" max="3372" width="9" style="3" customWidth="1"/>
    <col min="3373" max="3373" width="20.44140625" style="3" customWidth="1"/>
    <col min="3374" max="3374" width="12.44140625" style="3" customWidth="1"/>
    <col min="3375" max="3375" width="13.109375" style="3" customWidth="1"/>
    <col min="3376" max="3388" width="11.44140625" style="3"/>
    <col min="3389" max="3389" width="16.109375" style="3" customWidth="1"/>
    <col min="3390" max="3390" width="16.44140625" style="3" customWidth="1"/>
    <col min="3391" max="3402" width="11.44140625" style="3"/>
    <col min="3403" max="3403" width="12.6640625" style="3" customWidth="1"/>
    <col min="3404" max="3404" width="12" style="3" customWidth="1"/>
    <col min="3405" max="3416" width="11.44140625" style="3"/>
    <col min="3417" max="3417" width="12.5546875" style="3" customWidth="1"/>
    <col min="3418" max="3418" width="14.6640625" style="3" customWidth="1"/>
    <col min="3419" max="3428" width="13.33203125" style="3" customWidth="1"/>
    <col min="3429" max="3429" width="16.33203125" style="3" customWidth="1"/>
    <col min="3430" max="3430" width="17" style="3" customWidth="1"/>
    <col min="3431" max="3431" width="15.44140625" style="3" customWidth="1"/>
    <col min="3432" max="3432" width="15.88671875" style="3" customWidth="1"/>
    <col min="3433" max="3433" width="13.33203125" style="3" bestFit="1" customWidth="1"/>
    <col min="3434" max="3444" width="0" style="3" hidden="1" customWidth="1"/>
    <col min="3445" max="3445" width="15.44140625" style="3" customWidth="1"/>
    <col min="3446" max="3446" width="15.88671875" style="3" customWidth="1"/>
    <col min="3447" max="3582" width="11.44140625" style="3"/>
    <col min="3583" max="3583" width="4.109375" style="3" customWidth="1"/>
    <col min="3584" max="3584" width="23.33203125" style="3" customWidth="1"/>
    <col min="3585" max="3585" width="13.44140625" style="3" customWidth="1"/>
    <col min="3586" max="3586" width="19" style="3" customWidth="1"/>
    <col min="3587" max="3587" width="10.5546875" style="3" customWidth="1"/>
    <col min="3588" max="3588" width="14.109375" style="3" bestFit="1" customWidth="1"/>
    <col min="3589" max="3589" width="16.88671875" style="3" customWidth="1"/>
    <col min="3590" max="3590" width="20.5546875" style="3" customWidth="1"/>
    <col min="3591" max="3591" width="5.109375" style="3" customWidth="1"/>
    <col min="3592" max="3592" width="5.6640625" style="3" customWidth="1"/>
    <col min="3593" max="3593" width="16.6640625" style="3" customWidth="1"/>
    <col min="3594" max="3594" width="22.109375" style="3" customWidth="1"/>
    <col min="3595" max="3595" width="34.33203125" style="3" customWidth="1"/>
    <col min="3596" max="3596" width="26.109375" style="3" customWidth="1"/>
    <col min="3597" max="3597" width="11" style="3" customWidth="1"/>
    <col min="3598" max="3598" width="24.5546875" style="3" customWidth="1"/>
    <col min="3599" max="3599" width="4.44140625" style="3" customWidth="1"/>
    <col min="3600" max="3607" width="10.6640625" style="3" customWidth="1"/>
    <col min="3608" max="3608" width="11.6640625" style="3" customWidth="1"/>
    <col min="3609" max="3609" width="10.6640625" style="3" customWidth="1"/>
    <col min="3610" max="3610" width="11.33203125" style="3" customWidth="1"/>
    <col min="3611" max="3611" width="10.6640625" style="3" customWidth="1"/>
    <col min="3612" max="3612" width="20.44140625" style="3" customWidth="1"/>
    <col min="3613" max="3613" width="11.33203125" style="3" customWidth="1"/>
    <col min="3614" max="3614" width="11" style="3" customWidth="1"/>
    <col min="3615" max="3616" width="12" style="3" customWidth="1"/>
    <col min="3617" max="3617" width="9.44140625" style="3" customWidth="1"/>
    <col min="3618" max="3618" width="10.6640625" style="3" customWidth="1"/>
    <col min="3619" max="3628" width="9" style="3" customWidth="1"/>
    <col min="3629" max="3629" width="20.44140625" style="3" customWidth="1"/>
    <col min="3630" max="3630" width="12.44140625" style="3" customWidth="1"/>
    <col min="3631" max="3631" width="13.109375" style="3" customWidth="1"/>
    <col min="3632" max="3644" width="11.44140625" style="3"/>
    <col min="3645" max="3645" width="16.109375" style="3" customWidth="1"/>
    <col min="3646" max="3646" width="16.44140625" style="3" customWidth="1"/>
    <col min="3647" max="3658" width="11.44140625" style="3"/>
    <col min="3659" max="3659" width="12.6640625" style="3" customWidth="1"/>
    <col min="3660" max="3660" width="12" style="3" customWidth="1"/>
    <col min="3661" max="3672" width="11.44140625" style="3"/>
    <col min="3673" max="3673" width="12.5546875" style="3" customWidth="1"/>
    <col min="3674" max="3674" width="14.6640625" style="3" customWidth="1"/>
    <col min="3675" max="3684" width="13.33203125" style="3" customWidth="1"/>
    <col min="3685" max="3685" width="16.33203125" style="3" customWidth="1"/>
    <col min="3686" max="3686" width="17" style="3" customWidth="1"/>
    <col min="3687" max="3687" width="15.44140625" style="3" customWidth="1"/>
    <col min="3688" max="3688" width="15.88671875" style="3" customWidth="1"/>
    <col min="3689" max="3689" width="13.33203125" style="3" bestFit="1" customWidth="1"/>
    <col min="3690" max="3700" width="0" style="3" hidden="1" customWidth="1"/>
    <col min="3701" max="3701" width="15.44140625" style="3" customWidth="1"/>
    <col min="3702" max="3702" width="15.88671875" style="3" customWidth="1"/>
    <col min="3703" max="3838" width="11.44140625" style="3"/>
    <col min="3839" max="3839" width="4.109375" style="3" customWidth="1"/>
    <col min="3840" max="3840" width="23.33203125" style="3" customWidth="1"/>
    <col min="3841" max="3841" width="13.44140625" style="3" customWidth="1"/>
    <col min="3842" max="3842" width="19" style="3" customWidth="1"/>
    <col min="3843" max="3843" width="10.5546875" style="3" customWidth="1"/>
    <col min="3844" max="3844" width="14.109375" style="3" bestFit="1" customWidth="1"/>
    <col min="3845" max="3845" width="16.88671875" style="3" customWidth="1"/>
    <col min="3846" max="3846" width="20.5546875" style="3" customWidth="1"/>
    <col min="3847" max="3847" width="5.109375" style="3" customWidth="1"/>
    <col min="3848" max="3848" width="5.6640625" style="3" customWidth="1"/>
    <col min="3849" max="3849" width="16.6640625" style="3" customWidth="1"/>
    <col min="3850" max="3850" width="22.109375" style="3" customWidth="1"/>
    <col min="3851" max="3851" width="34.33203125" style="3" customWidth="1"/>
    <col min="3852" max="3852" width="26.109375" style="3" customWidth="1"/>
    <col min="3853" max="3853" width="11" style="3" customWidth="1"/>
    <col min="3854" max="3854" width="24.5546875" style="3" customWidth="1"/>
    <col min="3855" max="3855" width="4.44140625" style="3" customWidth="1"/>
    <col min="3856" max="3863" width="10.6640625" style="3" customWidth="1"/>
    <col min="3864" max="3864" width="11.6640625" style="3" customWidth="1"/>
    <col min="3865" max="3865" width="10.6640625" style="3" customWidth="1"/>
    <col min="3866" max="3866" width="11.33203125" style="3" customWidth="1"/>
    <col min="3867" max="3867" width="10.6640625" style="3" customWidth="1"/>
    <col min="3868" max="3868" width="20.44140625" style="3" customWidth="1"/>
    <col min="3869" max="3869" width="11.33203125" style="3" customWidth="1"/>
    <col min="3870" max="3870" width="11" style="3" customWidth="1"/>
    <col min="3871" max="3872" width="12" style="3" customWidth="1"/>
    <col min="3873" max="3873" width="9.44140625" style="3" customWidth="1"/>
    <col min="3874" max="3874" width="10.6640625" style="3" customWidth="1"/>
    <col min="3875" max="3884" width="9" style="3" customWidth="1"/>
    <col min="3885" max="3885" width="20.44140625" style="3" customWidth="1"/>
    <col min="3886" max="3886" width="12.44140625" style="3" customWidth="1"/>
    <col min="3887" max="3887" width="13.109375" style="3" customWidth="1"/>
    <col min="3888" max="3900" width="11.44140625" style="3"/>
    <col min="3901" max="3901" width="16.109375" style="3" customWidth="1"/>
    <col min="3902" max="3902" width="16.44140625" style="3" customWidth="1"/>
    <col min="3903" max="3914" width="11.44140625" style="3"/>
    <col min="3915" max="3915" width="12.6640625" style="3" customWidth="1"/>
    <col min="3916" max="3916" width="12" style="3" customWidth="1"/>
    <col min="3917" max="3928" width="11.44140625" style="3"/>
    <col min="3929" max="3929" width="12.5546875" style="3" customWidth="1"/>
    <col min="3930" max="3930" width="14.6640625" style="3" customWidth="1"/>
    <col min="3931" max="3940" width="13.33203125" style="3" customWidth="1"/>
    <col min="3941" max="3941" width="16.33203125" style="3" customWidth="1"/>
    <col min="3942" max="3942" width="17" style="3" customWidth="1"/>
    <col min="3943" max="3943" width="15.44140625" style="3" customWidth="1"/>
    <col min="3944" max="3944" width="15.88671875" style="3" customWidth="1"/>
    <col min="3945" max="3945" width="13.33203125" style="3" bestFit="1" customWidth="1"/>
    <col min="3946" max="3956" width="0" style="3" hidden="1" customWidth="1"/>
    <col min="3957" max="3957" width="15.44140625" style="3" customWidth="1"/>
    <col min="3958" max="3958" width="15.88671875" style="3" customWidth="1"/>
    <col min="3959" max="4094" width="11.44140625" style="3"/>
    <col min="4095" max="4095" width="4.109375" style="3" customWidth="1"/>
    <col min="4096" max="4096" width="23.33203125" style="3" customWidth="1"/>
    <col min="4097" max="4097" width="13.44140625" style="3" customWidth="1"/>
    <col min="4098" max="4098" width="19" style="3" customWidth="1"/>
    <col min="4099" max="4099" width="10.5546875" style="3" customWidth="1"/>
    <col min="4100" max="4100" width="14.109375" style="3" bestFit="1" customWidth="1"/>
    <col min="4101" max="4101" width="16.88671875" style="3" customWidth="1"/>
    <col min="4102" max="4102" width="20.5546875" style="3" customWidth="1"/>
    <col min="4103" max="4103" width="5.109375" style="3" customWidth="1"/>
    <col min="4104" max="4104" width="5.6640625" style="3" customWidth="1"/>
    <col min="4105" max="4105" width="16.6640625" style="3" customWidth="1"/>
    <col min="4106" max="4106" width="22.109375" style="3" customWidth="1"/>
    <col min="4107" max="4107" width="34.33203125" style="3" customWidth="1"/>
    <col min="4108" max="4108" width="26.109375" style="3" customWidth="1"/>
    <col min="4109" max="4109" width="11" style="3" customWidth="1"/>
    <col min="4110" max="4110" width="24.5546875" style="3" customWidth="1"/>
    <col min="4111" max="4111" width="4.44140625" style="3" customWidth="1"/>
    <col min="4112" max="4119" width="10.6640625" style="3" customWidth="1"/>
    <col min="4120" max="4120" width="11.6640625" style="3" customWidth="1"/>
    <col min="4121" max="4121" width="10.6640625" style="3" customWidth="1"/>
    <col min="4122" max="4122" width="11.33203125" style="3" customWidth="1"/>
    <col min="4123" max="4123" width="10.6640625" style="3" customWidth="1"/>
    <col min="4124" max="4124" width="20.44140625" style="3" customWidth="1"/>
    <col min="4125" max="4125" width="11.33203125" style="3" customWidth="1"/>
    <col min="4126" max="4126" width="11" style="3" customWidth="1"/>
    <col min="4127" max="4128" width="12" style="3" customWidth="1"/>
    <col min="4129" max="4129" width="9.44140625" style="3" customWidth="1"/>
    <col min="4130" max="4130" width="10.6640625" style="3" customWidth="1"/>
    <col min="4131" max="4140" width="9" style="3" customWidth="1"/>
    <col min="4141" max="4141" width="20.44140625" style="3" customWidth="1"/>
    <col min="4142" max="4142" width="12.44140625" style="3" customWidth="1"/>
    <col min="4143" max="4143" width="13.109375" style="3" customWidth="1"/>
    <col min="4144" max="4156" width="11.44140625" style="3"/>
    <col min="4157" max="4157" width="16.109375" style="3" customWidth="1"/>
    <col min="4158" max="4158" width="16.44140625" style="3" customWidth="1"/>
    <col min="4159" max="4170" width="11.44140625" style="3"/>
    <col min="4171" max="4171" width="12.6640625" style="3" customWidth="1"/>
    <col min="4172" max="4172" width="12" style="3" customWidth="1"/>
    <col min="4173" max="4184" width="11.44140625" style="3"/>
    <col min="4185" max="4185" width="12.5546875" style="3" customWidth="1"/>
    <col min="4186" max="4186" width="14.6640625" style="3" customWidth="1"/>
    <col min="4187" max="4196" width="13.33203125" style="3" customWidth="1"/>
    <col min="4197" max="4197" width="16.33203125" style="3" customWidth="1"/>
    <col min="4198" max="4198" width="17" style="3" customWidth="1"/>
    <col min="4199" max="4199" width="15.44140625" style="3" customWidth="1"/>
    <col min="4200" max="4200" width="15.88671875" style="3" customWidth="1"/>
    <col min="4201" max="4201" width="13.33203125" style="3" bestFit="1" customWidth="1"/>
    <col min="4202" max="4212" width="0" style="3" hidden="1" customWidth="1"/>
    <col min="4213" max="4213" width="15.44140625" style="3" customWidth="1"/>
    <col min="4214" max="4214" width="15.88671875" style="3" customWidth="1"/>
    <col min="4215" max="4350" width="11.44140625" style="3"/>
    <col min="4351" max="4351" width="4.109375" style="3" customWidth="1"/>
    <col min="4352" max="4352" width="23.33203125" style="3" customWidth="1"/>
    <col min="4353" max="4353" width="13.44140625" style="3" customWidth="1"/>
    <col min="4354" max="4354" width="19" style="3" customWidth="1"/>
    <col min="4355" max="4355" width="10.5546875" style="3" customWidth="1"/>
    <col min="4356" max="4356" width="14.109375" style="3" bestFit="1" customWidth="1"/>
    <col min="4357" max="4357" width="16.88671875" style="3" customWidth="1"/>
    <col min="4358" max="4358" width="20.5546875" style="3" customWidth="1"/>
    <col min="4359" max="4359" width="5.109375" style="3" customWidth="1"/>
    <col min="4360" max="4360" width="5.6640625" style="3" customWidth="1"/>
    <col min="4361" max="4361" width="16.6640625" style="3" customWidth="1"/>
    <col min="4362" max="4362" width="22.109375" style="3" customWidth="1"/>
    <col min="4363" max="4363" width="34.33203125" style="3" customWidth="1"/>
    <col min="4364" max="4364" width="26.109375" style="3" customWidth="1"/>
    <col min="4365" max="4365" width="11" style="3" customWidth="1"/>
    <col min="4366" max="4366" width="24.5546875" style="3" customWidth="1"/>
    <col min="4367" max="4367" width="4.44140625" style="3" customWidth="1"/>
    <col min="4368" max="4375" width="10.6640625" style="3" customWidth="1"/>
    <col min="4376" max="4376" width="11.6640625" style="3" customWidth="1"/>
    <col min="4377" max="4377" width="10.6640625" style="3" customWidth="1"/>
    <col min="4378" max="4378" width="11.33203125" style="3" customWidth="1"/>
    <col min="4379" max="4379" width="10.6640625" style="3" customWidth="1"/>
    <col min="4380" max="4380" width="20.44140625" style="3" customWidth="1"/>
    <col min="4381" max="4381" width="11.33203125" style="3" customWidth="1"/>
    <col min="4382" max="4382" width="11" style="3" customWidth="1"/>
    <col min="4383" max="4384" width="12" style="3" customWidth="1"/>
    <col min="4385" max="4385" width="9.44140625" style="3" customWidth="1"/>
    <col min="4386" max="4386" width="10.6640625" style="3" customWidth="1"/>
    <col min="4387" max="4396" width="9" style="3" customWidth="1"/>
    <col min="4397" max="4397" width="20.44140625" style="3" customWidth="1"/>
    <col min="4398" max="4398" width="12.44140625" style="3" customWidth="1"/>
    <col min="4399" max="4399" width="13.109375" style="3" customWidth="1"/>
    <col min="4400" max="4412" width="11.44140625" style="3"/>
    <col min="4413" max="4413" width="16.109375" style="3" customWidth="1"/>
    <col min="4414" max="4414" width="16.44140625" style="3" customWidth="1"/>
    <col min="4415" max="4426" width="11.44140625" style="3"/>
    <col min="4427" max="4427" width="12.6640625" style="3" customWidth="1"/>
    <col min="4428" max="4428" width="12" style="3" customWidth="1"/>
    <col min="4429" max="4440" width="11.44140625" style="3"/>
    <col min="4441" max="4441" width="12.5546875" style="3" customWidth="1"/>
    <col min="4442" max="4442" width="14.6640625" style="3" customWidth="1"/>
    <col min="4443" max="4452" width="13.33203125" style="3" customWidth="1"/>
    <col min="4453" max="4453" width="16.33203125" style="3" customWidth="1"/>
    <col min="4454" max="4454" width="17" style="3" customWidth="1"/>
    <col min="4455" max="4455" width="15.44140625" style="3" customWidth="1"/>
    <col min="4456" max="4456" width="15.88671875" style="3" customWidth="1"/>
    <col min="4457" max="4457" width="13.33203125" style="3" bestFit="1" customWidth="1"/>
    <col min="4458" max="4468" width="0" style="3" hidden="1" customWidth="1"/>
    <col min="4469" max="4469" width="15.44140625" style="3" customWidth="1"/>
    <col min="4470" max="4470" width="15.88671875" style="3" customWidth="1"/>
    <col min="4471" max="4606" width="11.44140625" style="3"/>
    <col min="4607" max="4607" width="4.109375" style="3" customWidth="1"/>
    <col min="4608" max="4608" width="23.33203125" style="3" customWidth="1"/>
    <col min="4609" max="4609" width="13.44140625" style="3" customWidth="1"/>
    <col min="4610" max="4610" width="19" style="3" customWidth="1"/>
    <col min="4611" max="4611" width="10.5546875" style="3" customWidth="1"/>
    <col min="4612" max="4612" width="14.109375" style="3" bestFit="1" customWidth="1"/>
    <col min="4613" max="4613" width="16.88671875" style="3" customWidth="1"/>
    <col min="4614" max="4614" width="20.5546875" style="3" customWidth="1"/>
    <col min="4615" max="4615" width="5.109375" style="3" customWidth="1"/>
    <col min="4616" max="4616" width="5.6640625" style="3" customWidth="1"/>
    <col min="4617" max="4617" width="16.6640625" style="3" customWidth="1"/>
    <col min="4618" max="4618" width="22.109375" style="3" customWidth="1"/>
    <col min="4619" max="4619" width="34.33203125" style="3" customWidth="1"/>
    <col min="4620" max="4620" width="26.109375" style="3" customWidth="1"/>
    <col min="4621" max="4621" width="11" style="3" customWidth="1"/>
    <col min="4622" max="4622" width="24.5546875" style="3" customWidth="1"/>
    <col min="4623" max="4623" width="4.44140625" style="3" customWidth="1"/>
    <col min="4624" max="4631" width="10.6640625" style="3" customWidth="1"/>
    <col min="4632" max="4632" width="11.6640625" style="3" customWidth="1"/>
    <col min="4633" max="4633" width="10.6640625" style="3" customWidth="1"/>
    <col min="4634" max="4634" width="11.33203125" style="3" customWidth="1"/>
    <col min="4635" max="4635" width="10.6640625" style="3" customWidth="1"/>
    <col min="4636" max="4636" width="20.44140625" style="3" customWidth="1"/>
    <col min="4637" max="4637" width="11.33203125" style="3" customWidth="1"/>
    <col min="4638" max="4638" width="11" style="3" customWidth="1"/>
    <col min="4639" max="4640" width="12" style="3" customWidth="1"/>
    <col min="4641" max="4641" width="9.44140625" style="3" customWidth="1"/>
    <col min="4642" max="4642" width="10.6640625" style="3" customWidth="1"/>
    <col min="4643" max="4652" width="9" style="3" customWidth="1"/>
    <col min="4653" max="4653" width="20.44140625" style="3" customWidth="1"/>
    <col min="4654" max="4654" width="12.44140625" style="3" customWidth="1"/>
    <col min="4655" max="4655" width="13.109375" style="3" customWidth="1"/>
    <col min="4656" max="4668" width="11.44140625" style="3"/>
    <col min="4669" max="4669" width="16.109375" style="3" customWidth="1"/>
    <col min="4670" max="4670" width="16.44140625" style="3" customWidth="1"/>
    <col min="4671" max="4682" width="11.44140625" style="3"/>
    <col min="4683" max="4683" width="12.6640625" style="3" customWidth="1"/>
    <col min="4684" max="4684" width="12" style="3" customWidth="1"/>
    <col min="4685" max="4696" width="11.44140625" style="3"/>
    <col min="4697" max="4697" width="12.5546875" style="3" customWidth="1"/>
    <col min="4698" max="4698" width="14.6640625" style="3" customWidth="1"/>
    <col min="4699" max="4708" width="13.33203125" style="3" customWidth="1"/>
    <col min="4709" max="4709" width="16.33203125" style="3" customWidth="1"/>
    <col min="4710" max="4710" width="17" style="3" customWidth="1"/>
    <col min="4711" max="4711" width="15.44140625" style="3" customWidth="1"/>
    <col min="4712" max="4712" width="15.88671875" style="3" customWidth="1"/>
    <col min="4713" max="4713" width="13.33203125" style="3" bestFit="1" customWidth="1"/>
    <col min="4714" max="4724" width="0" style="3" hidden="1" customWidth="1"/>
    <col min="4725" max="4725" width="15.44140625" style="3" customWidth="1"/>
    <col min="4726" max="4726" width="15.88671875" style="3" customWidth="1"/>
    <col min="4727" max="4862" width="11.44140625" style="3"/>
    <col min="4863" max="4863" width="4.109375" style="3" customWidth="1"/>
    <col min="4864" max="4864" width="23.33203125" style="3" customWidth="1"/>
    <col min="4865" max="4865" width="13.44140625" style="3" customWidth="1"/>
    <col min="4866" max="4866" width="19" style="3" customWidth="1"/>
    <col min="4867" max="4867" width="10.5546875" style="3" customWidth="1"/>
    <col min="4868" max="4868" width="14.109375" style="3" bestFit="1" customWidth="1"/>
    <col min="4869" max="4869" width="16.88671875" style="3" customWidth="1"/>
    <col min="4870" max="4870" width="20.5546875" style="3" customWidth="1"/>
    <col min="4871" max="4871" width="5.109375" style="3" customWidth="1"/>
    <col min="4872" max="4872" width="5.6640625" style="3" customWidth="1"/>
    <col min="4873" max="4873" width="16.6640625" style="3" customWidth="1"/>
    <col min="4874" max="4874" width="22.109375" style="3" customWidth="1"/>
    <col min="4875" max="4875" width="34.33203125" style="3" customWidth="1"/>
    <col min="4876" max="4876" width="26.109375" style="3" customWidth="1"/>
    <col min="4877" max="4877" width="11" style="3" customWidth="1"/>
    <col min="4878" max="4878" width="24.5546875" style="3" customWidth="1"/>
    <col min="4879" max="4879" width="4.44140625" style="3" customWidth="1"/>
    <col min="4880" max="4887" width="10.6640625" style="3" customWidth="1"/>
    <col min="4888" max="4888" width="11.6640625" style="3" customWidth="1"/>
    <col min="4889" max="4889" width="10.6640625" style="3" customWidth="1"/>
    <col min="4890" max="4890" width="11.33203125" style="3" customWidth="1"/>
    <col min="4891" max="4891" width="10.6640625" style="3" customWidth="1"/>
    <col min="4892" max="4892" width="20.44140625" style="3" customWidth="1"/>
    <col min="4893" max="4893" width="11.33203125" style="3" customWidth="1"/>
    <col min="4894" max="4894" width="11" style="3" customWidth="1"/>
    <col min="4895" max="4896" width="12" style="3" customWidth="1"/>
    <col min="4897" max="4897" width="9.44140625" style="3" customWidth="1"/>
    <col min="4898" max="4898" width="10.6640625" style="3" customWidth="1"/>
    <col min="4899" max="4908" width="9" style="3" customWidth="1"/>
    <col min="4909" max="4909" width="20.44140625" style="3" customWidth="1"/>
    <col min="4910" max="4910" width="12.44140625" style="3" customWidth="1"/>
    <col min="4911" max="4911" width="13.109375" style="3" customWidth="1"/>
    <col min="4912" max="4924" width="11.44140625" style="3"/>
    <col min="4925" max="4925" width="16.109375" style="3" customWidth="1"/>
    <col min="4926" max="4926" width="16.44140625" style="3" customWidth="1"/>
    <col min="4927" max="4938" width="11.44140625" style="3"/>
    <col min="4939" max="4939" width="12.6640625" style="3" customWidth="1"/>
    <col min="4940" max="4940" width="12" style="3" customWidth="1"/>
    <col min="4941" max="4952" width="11.44140625" style="3"/>
    <col min="4953" max="4953" width="12.5546875" style="3" customWidth="1"/>
    <col min="4954" max="4954" width="14.6640625" style="3" customWidth="1"/>
    <col min="4955" max="4964" width="13.33203125" style="3" customWidth="1"/>
    <col min="4965" max="4965" width="16.33203125" style="3" customWidth="1"/>
    <col min="4966" max="4966" width="17" style="3" customWidth="1"/>
    <col min="4967" max="4967" width="15.44140625" style="3" customWidth="1"/>
    <col min="4968" max="4968" width="15.88671875" style="3" customWidth="1"/>
    <col min="4969" max="4969" width="13.33203125" style="3" bestFit="1" customWidth="1"/>
    <col min="4970" max="4980" width="0" style="3" hidden="1" customWidth="1"/>
    <col min="4981" max="4981" width="15.44140625" style="3" customWidth="1"/>
    <col min="4982" max="4982" width="15.88671875" style="3" customWidth="1"/>
    <col min="4983" max="5118" width="11.44140625" style="3"/>
    <col min="5119" max="5119" width="4.109375" style="3" customWidth="1"/>
    <col min="5120" max="5120" width="23.33203125" style="3" customWidth="1"/>
    <col min="5121" max="5121" width="13.44140625" style="3" customWidth="1"/>
    <col min="5122" max="5122" width="19" style="3" customWidth="1"/>
    <col min="5123" max="5123" width="10.5546875" style="3" customWidth="1"/>
    <col min="5124" max="5124" width="14.109375" style="3" bestFit="1" customWidth="1"/>
    <col min="5125" max="5125" width="16.88671875" style="3" customWidth="1"/>
    <col min="5126" max="5126" width="20.5546875" style="3" customWidth="1"/>
    <col min="5127" max="5127" width="5.109375" style="3" customWidth="1"/>
    <col min="5128" max="5128" width="5.6640625" style="3" customWidth="1"/>
    <col min="5129" max="5129" width="16.6640625" style="3" customWidth="1"/>
    <col min="5130" max="5130" width="22.109375" style="3" customWidth="1"/>
    <col min="5131" max="5131" width="34.33203125" style="3" customWidth="1"/>
    <col min="5132" max="5132" width="26.109375" style="3" customWidth="1"/>
    <col min="5133" max="5133" width="11" style="3" customWidth="1"/>
    <col min="5134" max="5134" width="24.5546875" style="3" customWidth="1"/>
    <col min="5135" max="5135" width="4.44140625" style="3" customWidth="1"/>
    <col min="5136" max="5143" width="10.6640625" style="3" customWidth="1"/>
    <col min="5144" max="5144" width="11.6640625" style="3" customWidth="1"/>
    <col min="5145" max="5145" width="10.6640625" style="3" customWidth="1"/>
    <col min="5146" max="5146" width="11.33203125" style="3" customWidth="1"/>
    <col min="5147" max="5147" width="10.6640625" style="3" customWidth="1"/>
    <col min="5148" max="5148" width="20.44140625" style="3" customWidth="1"/>
    <col min="5149" max="5149" width="11.33203125" style="3" customWidth="1"/>
    <col min="5150" max="5150" width="11" style="3" customWidth="1"/>
    <col min="5151" max="5152" width="12" style="3" customWidth="1"/>
    <col min="5153" max="5153" width="9.44140625" style="3" customWidth="1"/>
    <col min="5154" max="5154" width="10.6640625" style="3" customWidth="1"/>
    <col min="5155" max="5164" width="9" style="3" customWidth="1"/>
    <col min="5165" max="5165" width="20.44140625" style="3" customWidth="1"/>
    <col min="5166" max="5166" width="12.44140625" style="3" customWidth="1"/>
    <col min="5167" max="5167" width="13.109375" style="3" customWidth="1"/>
    <col min="5168" max="5180" width="11.44140625" style="3"/>
    <col min="5181" max="5181" width="16.109375" style="3" customWidth="1"/>
    <col min="5182" max="5182" width="16.44140625" style="3" customWidth="1"/>
    <col min="5183" max="5194" width="11.44140625" style="3"/>
    <col min="5195" max="5195" width="12.6640625" style="3" customWidth="1"/>
    <col min="5196" max="5196" width="12" style="3" customWidth="1"/>
    <col min="5197" max="5208" width="11.44140625" style="3"/>
    <col min="5209" max="5209" width="12.5546875" style="3" customWidth="1"/>
    <col min="5210" max="5210" width="14.6640625" style="3" customWidth="1"/>
    <col min="5211" max="5220" width="13.33203125" style="3" customWidth="1"/>
    <col min="5221" max="5221" width="16.33203125" style="3" customWidth="1"/>
    <col min="5222" max="5222" width="17" style="3" customWidth="1"/>
    <col min="5223" max="5223" width="15.44140625" style="3" customWidth="1"/>
    <col min="5224" max="5224" width="15.88671875" style="3" customWidth="1"/>
    <col min="5225" max="5225" width="13.33203125" style="3" bestFit="1" customWidth="1"/>
    <col min="5226" max="5236" width="0" style="3" hidden="1" customWidth="1"/>
    <col min="5237" max="5237" width="15.44140625" style="3" customWidth="1"/>
    <col min="5238" max="5238" width="15.88671875" style="3" customWidth="1"/>
    <col min="5239" max="5374" width="11.44140625" style="3"/>
    <col min="5375" max="5375" width="4.109375" style="3" customWidth="1"/>
    <col min="5376" max="5376" width="23.33203125" style="3" customWidth="1"/>
    <col min="5377" max="5377" width="13.44140625" style="3" customWidth="1"/>
    <col min="5378" max="5378" width="19" style="3" customWidth="1"/>
    <col min="5379" max="5379" width="10.5546875" style="3" customWidth="1"/>
    <col min="5380" max="5380" width="14.109375" style="3" bestFit="1" customWidth="1"/>
    <col min="5381" max="5381" width="16.88671875" style="3" customWidth="1"/>
    <col min="5382" max="5382" width="20.5546875" style="3" customWidth="1"/>
    <col min="5383" max="5383" width="5.109375" style="3" customWidth="1"/>
    <col min="5384" max="5384" width="5.6640625" style="3" customWidth="1"/>
    <col min="5385" max="5385" width="16.6640625" style="3" customWidth="1"/>
    <col min="5386" max="5386" width="22.109375" style="3" customWidth="1"/>
    <col min="5387" max="5387" width="34.33203125" style="3" customWidth="1"/>
    <col min="5388" max="5388" width="26.109375" style="3" customWidth="1"/>
    <col min="5389" max="5389" width="11" style="3" customWidth="1"/>
    <col min="5390" max="5390" width="24.5546875" style="3" customWidth="1"/>
    <col min="5391" max="5391" width="4.44140625" style="3" customWidth="1"/>
    <col min="5392" max="5399" width="10.6640625" style="3" customWidth="1"/>
    <col min="5400" max="5400" width="11.6640625" style="3" customWidth="1"/>
    <col min="5401" max="5401" width="10.6640625" style="3" customWidth="1"/>
    <col min="5402" max="5402" width="11.33203125" style="3" customWidth="1"/>
    <col min="5403" max="5403" width="10.6640625" style="3" customWidth="1"/>
    <col min="5404" max="5404" width="20.44140625" style="3" customWidth="1"/>
    <col min="5405" max="5405" width="11.33203125" style="3" customWidth="1"/>
    <col min="5406" max="5406" width="11" style="3" customWidth="1"/>
    <col min="5407" max="5408" width="12" style="3" customWidth="1"/>
    <col min="5409" max="5409" width="9.44140625" style="3" customWidth="1"/>
    <col min="5410" max="5410" width="10.6640625" style="3" customWidth="1"/>
    <col min="5411" max="5420" width="9" style="3" customWidth="1"/>
    <col min="5421" max="5421" width="20.44140625" style="3" customWidth="1"/>
    <col min="5422" max="5422" width="12.44140625" style="3" customWidth="1"/>
    <col min="5423" max="5423" width="13.109375" style="3" customWidth="1"/>
    <col min="5424" max="5436" width="11.44140625" style="3"/>
    <col min="5437" max="5437" width="16.109375" style="3" customWidth="1"/>
    <col min="5438" max="5438" width="16.44140625" style="3" customWidth="1"/>
    <col min="5439" max="5450" width="11.44140625" style="3"/>
    <col min="5451" max="5451" width="12.6640625" style="3" customWidth="1"/>
    <col min="5452" max="5452" width="12" style="3" customWidth="1"/>
    <col min="5453" max="5464" width="11.44140625" style="3"/>
    <col min="5465" max="5465" width="12.5546875" style="3" customWidth="1"/>
    <col min="5466" max="5466" width="14.6640625" style="3" customWidth="1"/>
    <col min="5467" max="5476" width="13.33203125" style="3" customWidth="1"/>
    <col min="5477" max="5477" width="16.33203125" style="3" customWidth="1"/>
    <col min="5478" max="5478" width="17" style="3" customWidth="1"/>
    <col min="5479" max="5479" width="15.44140625" style="3" customWidth="1"/>
    <col min="5480" max="5480" width="15.88671875" style="3" customWidth="1"/>
    <col min="5481" max="5481" width="13.33203125" style="3" bestFit="1" customWidth="1"/>
    <col min="5482" max="5492" width="0" style="3" hidden="1" customWidth="1"/>
    <col min="5493" max="5493" width="15.44140625" style="3" customWidth="1"/>
    <col min="5494" max="5494" width="15.88671875" style="3" customWidth="1"/>
    <col min="5495" max="5630" width="11.44140625" style="3"/>
    <col min="5631" max="5631" width="4.109375" style="3" customWidth="1"/>
    <col min="5632" max="5632" width="23.33203125" style="3" customWidth="1"/>
    <col min="5633" max="5633" width="13.44140625" style="3" customWidth="1"/>
    <col min="5634" max="5634" width="19" style="3" customWidth="1"/>
    <col min="5635" max="5635" width="10.5546875" style="3" customWidth="1"/>
    <col min="5636" max="5636" width="14.109375" style="3" bestFit="1" customWidth="1"/>
    <col min="5637" max="5637" width="16.88671875" style="3" customWidth="1"/>
    <col min="5638" max="5638" width="20.5546875" style="3" customWidth="1"/>
    <col min="5639" max="5639" width="5.109375" style="3" customWidth="1"/>
    <col min="5640" max="5640" width="5.6640625" style="3" customWidth="1"/>
    <col min="5641" max="5641" width="16.6640625" style="3" customWidth="1"/>
    <col min="5642" max="5642" width="22.109375" style="3" customWidth="1"/>
    <col min="5643" max="5643" width="34.33203125" style="3" customWidth="1"/>
    <col min="5644" max="5644" width="26.109375" style="3" customWidth="1"/>
    <col min="5645" max="5645" width="11" style="3" customWidth="1"/>
    <col min="5646" max="5646" width="24.5546875" style="3" customWidth="1"/>
    <col min="5647" max="5647" width="4.44140625" style="3" customWidth="1"/>
    <col min="5648" max="5655" width="10.6640625" style="3" customWidth="1"/>
    <col min="5656" max="5656" width="11.6640625" style="3" customWidth="1"/>
    <col min="5657" max="5657" width="10.6640625" style="3" customWidth="1"/>
    <col min="5658" max="5658" width="11.33203125" style="3" customWidth="1"/>
    <col min="5659" max="5659" width="10.6640625" style="3" customWidth="1"/>
    <col min="5660" max="5660" width="20.44140625" style="3" customWidth="1"/>
    <col min="5661" max="5661" width="11.33203125" style="3" customWidth="1"/>
    <col min="5662" max="5662" width="11" style="3" customWidth="1"/>
    <col min="5663" max="5664" width="12" style="3" customWidth="1"/>
    <col min="5665" max="5665" width="9.44140625" style="3" customWidth="1"/>
    <col min="5666" max="5666" width="10.6640625" style="3" customWidth="1"/>
    <col min="5667" max="5676" width="9" style="3" customWidth="1"/>
    <col min="5677" max="5677" width="20.44140625" style="3" customWidth="1"/>
    <col min="5678" max="5678" width="12.44140625" style="3" customWidth="1"/>
    <col min="5679" max="5679" width="13.109375" style="3" customWidth="1"/>
    <col min="5680" max="5692" width="11.44140625" style="3"/>
    <col min="5693" max="5693" width="16.109375" style="3" customWidth="1"/>
    <col min="5694" max="5694" width="16.44140625" style="3" customWidth="1"/>
    <col min="5695" max="5706" width="11.44140625" style="3"/>
    <col min="5707" max="5707" width="12.6640625" style="3" customWidth="1"/>
    <col min="5708" max="5708" width="12" style="3" customWidth="1"/>
    <col min="5709" max="5720" width="11.44140625" style="3"/>
    <col min="5721" max="5721" width="12.5546875" style="3" customWidth="1"/>
    <col min="5722" max="5722" width="14.6640625" style="3" customWidth="1"/>
    <col min="5723" max="5732" width="13.33203125" style="3" customWidth="1"/>
    <col min="5733" max="5733" width="16.33203125" style="3" customWidth="1"/>
    <col min="5734" max="5734" width="17" style="3" customWidth="1"/>
    <col min="5735" max="5735" width="15.44140625" style="3" customWidth="1"/>
    <col min="5736" max="5736" width="15.88671875" style="3" customWidth="1"/>
    <col min="5737" max="5737" width="13.33203125" style="3" bestFit="1" customWidth="1"/>
    <col min="5738" max="5748" width="0" style="3" hidden="1" customWidth="1"/>
    <col min="5749" max="5749" width="15.44140625" style="3" customWidth="1"/>
    <col min="5750" max="5750" width="15.88671875" style="3" customWidth="1"/>
    <col min="5751" max="5886" width="11.44140625" style="3"/>
    <col min="5887" max="5887" width="4.109375" style="3" customWidth="1"/>
    <col min="5888" max="5888" width="23.33203125" style="3" customWidth="1"/>
    <col min="5889" max="5889" width="13.44140625" style="3" customWidth="1"/>
    <col min="5890" max="5890" width="19" style="3" customWidth="1"/>
    <col min="5891" max="5891" width="10.5546875" style="3" customWidth="1"/>
    <col min="5892" max="5892" width="14.109375" style="3" bestFit="1" customWidth="1"/>
    <col min="5893" max="5893" width="16.88671875" style="3" customWidth="1"/>
    <col min="5894" max="5894" width="20.5546875" style="3" customWidth="1"/>
    <col min="5895" max="5895" width="5.109375" style="3" customWidth="1"/>
    <col min="5896" max="5896" width="5.6640625" style="3" customWidth="1"/>
    <col min="5897" max="5897" width="16.6640625" style="3" customWidth="1"/>
    <col min="5898" max="5898" width="22.109375" style="3" customWidth="1"/>
    <col min="5899" max="5899" width="34.33203125" style="3" customWidth="1"/>
    <col min="5900" max="5900" width="26.109375" style="3" customWidth="1"/>
    <col min="5901" max="5901" width="11" style="3" customWidth="1"/>
    <col min="5902" max="5902" width="24.5546875" style="3" customWidth="1"/>
    <col min="5903" max="5903" width="4.44140625" style="3" customWidth="1"/>
    <col min="5904" max="5911" width="10.6640625" style="3" customWidth="1"/>
    <col min="5912" max="5912" width="11.6640625" style="3" customWidth="1"/>
    <col min="5913" max="5913" width="10.6640625" style="3" customWidth="1"/>
    <col min="5914" max="5914" width="11.33203125" style="3" customWidth="1"/>
    <col min="5915" max="5915" width="10.6640625" style="3" customWidth="1"/>
    <col min="5916" max="5916" width="20.44140625" style="3" customWidth="1"/>
    <col min="5917" max="5917" width="11.33203125" style="3" customWidth="1"/>
    <col min="5918" max="5918" width="11" style="3" customWidth="1"/>
    <col min="5919" max="5920" width="12" style="3" customWidth="1"/>
    <col min="5921" max="5921" width="9.44140625" style="3" customWidth="1"/>
    <col min="5922" max="5922" width="10.6640625" style="3" customWidth="1"/>
    <col min="5923" max="5932" width="9" style="3" customWidth="1"/>
    <col min="5933" max="5933" width="20.44140625" style="3" customWidth="1"/>
    <col min="5934" max="5934" width="12.44140625" style="3" customWidth="1"/>
    <col min="5935" max="5935" width="13.109375" style="3" customWidth="1"/>
    <col min="5936" max="5948" width="11.44140625" style="3"/>
    <col min="5949" max="5949" width="16.109375" style="3" customWidth="1"/>
    <col min="5950" max="5950" width="16.44140625" style="3" customWidth="1"/>
    <col min="5951" max="5962" width="11.44140625" style="3"/>
    <col min="5963" max="5963" width="12.6640625" style="3" customWidth="1"/>
    <col min="5964" max="5964" width="12" style="3" customWidth="1"/>
    <col min="5965" max="5976" width="11.44140625" style="3"/>
    <col min="5977" max="5977" width="12.5546875" style="3" customWidth="1"/>
    <col min="5978" max="5978" width="14.6640625" style="3" customWidth="1"/>
    <col min="5979" max="5988" width="13.33203125" style="3" customWidth="1"/>
    <col min="5989" max="5989" width="16.33203125" style="3" customWidth="1"/>
    <col min="5990" max="5990" width="17" style="3" customWidth="1"/>
    <col min="5991" max="5991" width="15.44140625" style="3" customWidth="1"/>
    <col min="5992" max="5992" width="15.88671875" style="3" customWidth="1"/>
    <col min="5993" max="5993" width="13.33203125" style="3" bestFit="1" customWidth="1"/>
    <col min="5994" max="6004" width="0" style="3" hidden="1" customWidth="1"/>
    <col min="6005" max="6005" width="15.44140625" style="3" customWidth="1"/>
    <col min="6006" max="6006" width="15.88671875" style="3" customWidth="1"/>
    <col min="6007" max="6142" width="11.44140625" style="3"/>
    <col min="6143" max="6143" width="4.109375" style="3" customWidth="1"/>
    <col min="6144" max="6144" width="23.33203125" style="3" customWidth="1"/>
    <col min="6145" max="6145" width="13.44140625" style="3" customWidth="1"/>
    <col min="6146" max="6146" width="19" style="3" customWidth="1"/>
    <col min="6147" max="6147" width="10.5546875" style="3" customWidth="1"/>
    <col min="6148" max="6148" width="14.109375" style="3" bestFit="1" customWidth="1"/>
    <col min="6149" max="6149" width="16.88671875" style="3" customWidth="1"/>
    <col min="6150" max="6150" width="20.5546875" style="3" customWidth="1"/>
    <col min="6151" max="6151" width="5.109375" style="3" customWidth="1"/>
    <col min="6152" max="6152" width="5.6640625" style="3" customWidth="1"/>
    <col min="6153" max="6153" width="16.6640625" style="3" customWidth="1"/>
    <col min="6154" max="6154" width="22.109375" style="3" customWidth="1"/>
    <col min="6155" max="6155" width="34.33203125" style="3" customWidth="1"/>
    <col min="6156" max="6156" width="26.109375" style="3" customWidth="1"/>
    <col min="6157" max="6157" width="11" style="3" customWidth="1"/>
    <col min="6158" max="6158" width="24.5546875" style="3" customWidth="1"/>
    <col min="6159" max="6159" width="4.44140625" style="3" customWidth="1"/>
    <col min="6160" max="6167" width="10.6640625" style="3" customWidth="1"/>
    <col min="6168" max="6168" width="11.6640625" style="3" customWidth="1"/>
    <col min="6169" max="6169" width="10.6640625" style="3" customWidth="1"/>
    <col min="6170" max="6170" width="11.33203125" style="3" customWidth="1"/>
    <col min="6171" max="6171" width="10.6640625" style="3" customWidth="1"/>
    <col min="6172" max="6172" width="20.44140625" style="3" customWidth="1"/>
    <col min="6173" max="6173" width="11.33203125" style="3" customWidth="1"/>
    <col min="6174" max="6174" width="11" style="3" customWidth="1"/>
    <col min="6175" max="6176" width="12" style="3" customWidth="1"/>
    <col min="6177" max="6177" width="9.44140625" style="3" customWidth="1"/>
    <col min="6178" max="6178" width="10.6640625" style="3" customWidth="1"/>
    <col min="6179" max="6188" width="9" style="3" customWidth="1"/>
    <col min="6189" max="6189" width="20.44140625" style="3" customWidth="1"/>
    <col min="6190" max="6190" width="12.44140625" style="3" customWidth="1"/>
    <col min="6191" max="6191" width="13.109375" style="3" customWidth="1"/>
    <col min="6192" max="6204" width="11.44140625" style="3"/>
    <col min="6205" max="6205" width="16.109375" style="3" customWidth="1"/>
    <col min="6206" max="6206" width="16.44140625" style="3" customWidth="1"/>
    <col min="6207" max="6218" width="11.44140625" style="3"/>
    <col min="6219" max="6219" width="12.6640625" style="3" customWidth="1"/>
    <col min="6220" max="6220" width="12" style="3" customWidth="1"/>
    <col min="6221" max="6232" width="11.44140625" style="3"/>
    <col min="6233" max="6233" width="12.5546875" style="3" customWidth="1"/>
    <col min="6234" max="6234" width="14.6640625" style="3" customWidth="1"/>
    <col min="6235" max="6244" width="13.33203125" style="3" customWidth="1"/>
    <col min="6245" max="6245" width="16.33203125" style="3" customWidth="1"/>
    <col min="6246" max="6246" width="17" style="3" customWidth="1"/>
    <col min="6247" max="6247" width="15.44140625" style="3" customWidth="1"/>
    <col min="6248" max="6248" width="15.88671875" style="3" customWidth="1"/>
    <col min="6249" max="6249" width="13.33203125" style="3" bestFit="1" customWidth="1"/>
    <col min="6250" max="6260" width="0" style="3" hidden="1" customWidth="1"/>
    <col min="6261" max="6261" width="15.44140625" style="3" customWidth="1"/>
    <col min="6262" max="6262" width="15.88671875" style="3" customWidth="1"/>
    <col min="6263" max="6398" width="11.44140625" style="3"/>
    <col min="6399" max="6399" width="4.109375" style="3" customWidth="1"/>
    <col min="6400" max="6400" width="23.33203125" style="3" customWidth="1"/>
    <col min="6401" max="6401" width="13.44140625" style="3" customWidth="1"/>
    <col min="6402" max="6402" width="19" style="3" customWidth="1"/>
    <col min="6403" max="6403" width="10.5546875" style="3" customWidth="1"/>
    <col min="6404" max="6404" width="14.109375" style="3" bestFit="1" customWidth="1"/>
    <col min="6405" max="6405" width="16.88671875" style="3" customWidth="1"/>
    <col min="6406" max="6406" width="20.5546875" style="3" customWidth="1"/>
    <col min="6407" max="6407" width="5.109375" style="3" customWidth="1"/>
    <col min="6408" max="6408" width="5.6640625" style="3" customWidth="1"/>
    <col min="6409" max="6409" width="16.6640625" style="3" customWidth="1"/>
    <col min="6410" max="6410" width="22.109375" style="3" customWidth="1"/>
    <col min="6411" max="6411" width="34.33203125" style="3" customWidth="1"/>
    <col min="6412" max="6412" width="26.109375" style="3" customWidth="1"/>
    <col min="6413" max="6413" width="11" style="3" customWidth="1"/>
    <col min="6414" max="6414" width="24.5546875" style="3" customWidth="1"/>
    <col min="6415" max="6415" width="4.44140625" style="3" customWidth="1"/>
    <col min="6416" max="6423" width="10.6640625" style="3" customWidth="1"/>
    <col min="6424" max="6424" width="11.6640625" style="3" customWidth="1"/>
    <col min="6425" max="6425" width="10.6640625" style="3" customWidth="1"/>
    <col min="6426" max="6426" width="11.33203125" style="3" customWidth="1"/>
    <col min="6427" max="6427" width="10.6640625" style="3" customWidth="1"/>
    <col min="6428" max="6428" width="20.44140625" style="3" customWidth="1"/>
    <col min="6429" max="6429" width="11.33203125" style="3" customWidth="1"/>
    <col min="6430" max="6430" width="11" style="3" customWidth="1"/>
    <col min="6431" max="6432" width="12" style="3" customWidth="1"/>
    <col min="6433" max="6433" width="9.44140625" style="3" customWidth="1"/>
    <col min="6434" max="6434" width="10.6640625" style="3" customWidth="1"/>
    <col min="6435" max="6444" width="9" style="3" customWidth="1"/>
    <col min="6445" max="6445" width="20.44140625" style="3" customWidth="1"/>
    <col min="6446" max="6446" width="12.44140625" style="3" customWidth="1"/>
    <col min="6447" max="6447" width="13.109375" style="3" customWidth="1"/>
    <col min="6448" max="6460" width="11.44140625" style="3"/>
    <col min="6461" max="6461" width="16.109375" style="3" customWidth="1"/>
    <col min="6462" max="6462" width="16.44140625" style="3" customWidth="1"/>
    <col min="6463" max="6474" width="11.44140625" style="3"/>
    <col min="6475" max="6475" width="12.6640625" style="3" customWidth="1"/>
    <col min="6476" max="6476" width="12" style="3" customWidth="1"/>
    <col min="6477" max="6488" width="11.44140625" style="3"/>
    <col min="6489" max="6489" width="12.5546875" style="3" customWidth="1"/>
    <col min="6490" max="6490" width="14.6640625" style="3" customWidth="1"/>
    <col min="6491" max="6500" width="13.33203125" style="3" customWidth="1"/>
    <col min="6501" max="6501" width="16.33203125" style="3" customWidth="1"/>
    <col min="6502" max="6502" width="17" style="3" customWidth="1"/>
    <col min="6503" max="6503" width="15.44140625" style="3" customWidth="1"/>
    <col min="6504" max="6504" width="15.88671875" style="3" customWidth="1"/>
    <col min="6505" max="6505" width="13.33203125" style="3" bestFit="1" customWidth="1"/>
    <col min="6506" max="6516" width="0" style="3" hidden="1" customWidth="1"/>
    <col min="6517" max="6517" width="15.44140625" style="3" customWidth="1"/>
    <col min="6518" max="6518" width="15.88671875" style="3" customWidth="1"/>
    <col min="6519" max="6654" width="11.44140625" style="3"/>
    <col min="6655" max="6655" width="4.109375" style="3" customWidth="1"/>
    <col min="6656" max="6656" width="23.33203125" style="3" customWidth="1"/>
    <col min="6657" max="6657" width="13.44140625" style="3" customWidth="1"/>
    <col min="6658" max="6658" width="19" style="3" customWidth="1"/>
    <col min="6659" max="6659" width="10.5546875" style="3" customWidth="1"/>
    <col min="6660" max="6660" width="14.109375" style="3" bestFit="1" customWidth="1"/>
    <col min="6661" max="6661" width="16.88671875" style="3" customWidth="1"/>
    <col min="6662" max="6662" width="20.5546875" style="3" customWidth="1"/>
    <col min="6663" max="6663" width="5.109375" style="3" customWidth="1"/>
    <col min="6664" max="6664" width="5.6640625" style="3" customWidth="1"/>
    <col min="6665" max="6665" width="16.6640625" style="3" customWidth="1"/>
    <col min="6666" max="6666" width="22.109375" style="3" customWidth="1"/>
    <col min="6667" max="6667" width="34.33203125" style="3" customWidth="1"/>
    <col min="6668" max="6668" width="26.109375" style="3" customWidth="1"/>
    <col min="6669" max="6669" width="11" style="3" customWidth="1"/>
    <col min="6670" max="6670" width="24.5546875" style="3" customWidth="1"/>
    <col min="6671" max="6671" width="4.44140625" style="3" customWidth="1"/>
    <col min="6672" max="6679" width="10.6640625" style="3" customWidth="1"/>
    <col min="6680" max="6680" width="11.6640625" style="3" customWidth="1"/>
    <col min="6681" max="6681" width="10.6640625" style="3" customWidth="1"/>
    <col min="6682" max="6682" width="11.33203125" style="3" customWidth="1"/>
    <col min="6683" max="6683" width="10.6640625" style="3" customWidth="1"/>
    <col min="6684" max="6684" width="20.44140625" style="3" customWidth="1"/>
    <col min="6685" max="6685" width="11.33203125" style="3" customWidth="1"/>
    <col min="6686" max="6686" width="11" style="3" customWidth="1"/>
    <col min="6687" max="6688" width="12" style="3" customWidth="1"/>
    <col min="6689" max="6689" width="9.44140625" style="3" customWidth="1"/>
    <col min="6690" max="6690" width="10.6640625" style="3" customWidth="1"/>
    <col min="6691" max="6700" width="9" style="3" customWidth="1"/>
    <col min="6701" max="6701" width="20.44140625" style="3" customWidth="1"/>
    <col min="6702" max="6702" width="12.44140625" style="3" customWidth="1"/>
    <col min="6703" max="6703" width="13.109375" style="3" customWidth="1"/>
    <col min="6704" max="6716" width="11.44140625" style="3"/>
    <col min="6717" max="6717" width="16.109375" style="3" customWidth="1"/>
    <col min="6718" max="6718" width="16.44140625" style="3" customWidth="1"/>
    <col min="6719" max="6730" width="11.44140625" style="3"/>
    <col min="6731" max="6731" width="12.6640625" style="3" customWidth="1"/>
    <col min="6732" max="6732" width="12" style="3" customWidth="1"/>
    <col min="6733" max="6744" width="11.44140625" style="3"/>
    <col min="6745" max="6745" width="12.5546875" style="3" customWidth="1"/>
    <col min="6746" max="6746" width="14.6640625" style="3" customWidth="1"/>
    <col min="6747" max="6756" width="13.33203125" style="3" customWidth="1"/>
    <col min="6757" max="6757" width="16.33203125" style="3" customWidth="1"/>
    <col min="6758" max="6758" width="17" style="3" customWidth="1"/>
    <col min="6759" max="6759" width="15.44140625" style="3" customWidth="1"/>
    <col min="6760" max="6760" width="15.88671875" style="3" customWidth="1"/>
    <col min="6761" max="6761" width="13.33203125" style="3" bestFit="1" customWidth="1"/>
    <col min="6762" max="6772" width="0" style="3" hidden="1" customWidth="1"/>
    <col min="6773" max="6773" width="15.44140625" style="3" customWidth="1"/>
    <col min="6774" max="6774" width="15.88671875" style="3" customWidth="1"/>
    <col min="6775" max="6910" width="11.44140625" style="3"/>
    <col min="6911" max="6911" width="4.109375" style="3" customWidth="1"/>
    <col min="6912" max="6912" width="23.33203125" style="3" customWidth="1"/>
    <col min="6913" max="6913" width="13.44140625" style="3" customWidth="1"/>
    <col min="6914" max="6914" width="19" style="3" customWidth="1"/>
    <col min="6915" max="6915" width="10.5546875" style="3" customWidth="1"/>
    <col min="6916" max="6916" width="14.109375" style="3" bestFit="1" customWidth="1"/>
    <col min="6917" max="6917" width="16.88671875" style="3" customWidth="1"/>
    <col min="6918" max="6918" width="20.5546875" style="3" customWidth="1"/>
    <col min="6919" max="6919" width="5.109375" style="3" customWidth="1"/>
    <col min="6920" max="6920" width="5.6640625" style="3" customWidth="1"/>
    <col min="6921" max="6921" width="16.6640625" style="3" customWidth="1"/>
    <col min="6922" max="6922" width="22.109375" style="3" customWidth="1"/>
    <col min="6923" max="6923" width="34.33203125" style="3" customWidth="1"/>
    <col min="6924" max="6924" width="26.109375" style="3" customWidth="1"/>
    <col min="6925" max="6925" width="11" style="3" customWidth="1"/>
    <col min="6926" max="6926" width="24.5546875" style="3" customWidth="1"/>
    <col min="6927" max="6927" width="4.44140625" style="3" customWidth="1"/>
    <col min="6928" max="6935" width="10.6640625" style="3" customWidth="1"/>
    <col min="6936" max="6936" width="11.6640625" style="3" customWidth="1"/>
    <col min="6937" max="6937" width="10.6640625" style="3" customWidth="1"/>
    <col min="6938" max="6938" width="11.33203125" style="3" customWidth="1"/>
    <col min="6939" max="6939" width="10.6640625" style="3" customWidth="1"/>
    <col min="6940" max="6940" width="20.44140625" style="3" customWidth="1"/>
    <col min="6941" max="6941" width="11.33203125" style="3" customWidth="1"/>
    <col min="6942" max="6942" width="11" style="3" customWidth="1"/>
    <col min="6943" max="6944" width="12" style="3" customWidth="1"/>
    <col min="6945" max="6945" width="9.44140625" style="3" customWidth="1"/>
    <col min="6946" max="6946" width="10.6640625" style="3" customWidth="1"/>
    <col min="6947" max="6956" width="9" style="3" customWidth="1"/>
    <col min="6957" max="6957" width="20.44140625" style="3" customWidth="1"/>
    <col min="6958" max="6958" width="12.44140625" style="3" customWidth="1"/>
    <col min="6959" max="6959" width="13.109375" style="3" customWidth="1"/>
    <col min="6960" max="6972" width="11.44140625" style="3"/>
    <col min="6973" max="6973" width="16.109375" style="3" customWidth="1"/>
    <col min="6974" max="6974" width="16.44140625" style="3" customWidth="1"/>
    <col min="6975" max="6986" width="11.44140625" style="3"/>
    <col min="6987" max="6987" width="12.6640625" style="3" customWidth="1"/>
    <col min="6988" max="6988" width="12" style="3" customWidth="1"/>
    <col min="6989" max="7000" width="11.44140625" style="3"/>
    <col min="7001" max="7001" width="12.5546875" style="3" customWidth="1"/>
    <col min="7002" max="7002" width="14.6640625" style="3" customWidth="1"/>
    <col min="7003" max="7012" width="13.33203125" style="3" customWidth="1"/>
    <col min="7013" max="7013" width="16.33203125" style="3" customWidth="1"/>
    <col min="7014" max="7014" width="17" style="3" customWidth="1"/>
    <col min="7015" max="7015" width="15.44140625" style="3" customWidth="1"/>
    <col min="7016" max="7016" width="15.88671875" style="3" customWidth="1"/>
    <col min="7017" max="7017" width="13.33203125" style="3" bestFit="1" customWidth="1"/>
    <col min="7018" max="7028" width="0" style="3" hidden="1" customWidth="1"/>
    <col min="7029" max="7029" width="15.44140625" style="3" customWidth="1"/>
    <col min="7030" max="7030" width="15.88671875" style="3" customWidth="1"/>
    <col min="7031" max="7166" width="11.44140625" style="3"/>
    <col min="7167" max="7167" width="4.109375" style="3" customWidth="1"/>
    <col min="7168" max="7168" width="23.33203125" style="3" customWidth="1"/>
    <col min="7169" max="7169" width="13.44140625" style="3" customWidth="1"/>
    <col min="7170" max="7170" width="19" style="3" customWidth="1"/>
    <col min="7171" max="7171" width="10.5546875" style="3" customWidth="1"/>
    <col min="7172" max="7172" width="14.109375" style="3" bestFit="1" customWidth="1"/>
    <col min="7173" max="7173" width="16.88671875" style="3" customWidth="1"/>
    <col min="7174" max="7174" width="20.5546875" style="3" customWidth="1"/>
    <col min="7175" max="7175" width="5.109375" style="3" customWidth="1"/>
    <col min="7176" max="7176" width="5.6640625" style="3" customWidth="1"/>
    <col min="7177" max="7177" width="16.6640625" style="3" customWidth="1"/>
    <col min="7178" max="7178" width="22.109375" style="3" customWidth="1"/>
    <col min="7179" max="7179" width="34.33203125" style="3" customWidth="1"/>
    <col min="7180" max="7180" width="26.109375" style="3" customWidth="1"/>
    <col min="7181" max="7181" width="11" style="3" customWidth="1"/>
    <col min="7182" max="7182" width="24.5546875" style="3" customWidth="1"/>
    <col min="7183" max="7183" width="4.44140625" style="3" customWidth="1"/>
    <col min="7184" max="7191" width="10.6640625" style="3" customWidth="1"/>
    <col min="7192" max="7192" width="11.6640625" style="3" customWidth="1"/>
    <col min="7193" max="7193" width="10.6640625" style="3" customWidth="1"/>
    <col min="7194" max="7194" width="11.33203125" style="3" customWidth="1"/>
    <col min="7195" max="7195" width="10.6640625" style="3" customWidth="1"/>
    <col min="7196" max="7196" width="20.44140625" style="3" customWidth="1"/>
    <col min="7197" max="7197" width="11.33203125" style="3" customWidth="1"/>
    <col min="7198" max="7198" width="11" style="3" customWidth="1"/>
    <col min="7199" max="7200" width="12" style="3" customWidth="1"/>
    <col min="7201" max="7201" width="9.44140625" style="3" customWidth="1"/>
    <col min="7202" max="7202" width="10.6640625" style="3" customWidth="1"/>
    <col min="7203" max="7212" width="9" style="3" customWidth="1"/>
    <col min="7213" max="7213" width="20.44140625" style="3" customWidth="1"/>
    <col min="7214" max="7214" width="12.44140625" style="3" customWidth="1"/>
    <col min="7215" max="7215" width="13.109375" style="3" customWidth="1"/>
    <col min="7216" max="7228" width="11.44140625" style="3"/>
    <col min="7229" max="7229" width="16.109375" style="3" customWidth="1"/>
    <col min="7230" max="7230" width="16.44140625" style="3" customWidth="1"/>
    <col min="7231" max="7242" width="11.44140625" style="3"/>
    <col min="7243" max="7243" width="12.6640625" style="3" customWidth="1"/>
    <col min="7244" max="7244" width="12" style="3" customWidth="1"/>
    <col min="7245" max="7256" width="11.44140625" style="3"/>
    <col min="7257" max="7257" width="12.5546875" style="3" customWidth="1"/>
    <col min="7258" max="7258" width="14.6640625" style="3" customWidth="1"/>
    <col min="7259" max="7268" width="13.33203125" style="3" customWidth="1"/>
    <col min="7269" max="7269" width="16.33203125" style="3" customWidth="1"/>
    <col min="7270" max="7270" width="17" style="3" customWidth="1"/>
    <col min="7271" max="7271" width="15.44140625" style="3" customWidth="1"/>
    <col min="7272" max="7272" width="15.88671875" style="3" customWidth="1"/>
    <col min="7273" max="7273" width="13.33203125" style="3" bestFit="1" customWidth="1"/>
    <col min="7274" max="7284" width="0" style="3" hidden="1" customWidth="1"/>
    <col min="7285" max="7285" width="15.44140625" style="3" customWidth="1"/>
    <col min="7286" max="7286" width="15.88671875" style="3" customWidth="1"/>
    <col min="7287" max="7422" width="11.44140625" style="3"/>
    <col min="7423" max="7423" width="4.109375" style="3" customWidth="1"/>
    <col min="7424" max="7424" width="23.33203125" style="3" customWidth="1"/>
    <col min="7425" max="7425" width="13.44140625" style="3" customWidth="1"/>
    <col min="7426" max="7426" width="19" style="3" customWidth="1"/>
    <col min="7427" max="7427" width="10.5546875" style="3" customWidth="1"/>
    <col min="7428" max="7428" width="14.109375" style="3" bestFit="1" customWidth="1"/>
    <col min="7429" max="7429" width="16.88671875" style="3" customWidth="1"/>
    <col min="7430" max="7430" width="20.5546875" style="3" customWidth="1"/>
    <col min="7431" max="7431" width="5.109375" style="3" customWidth="1"/>
    <col min="7432" max="7432" width="5.6640625" style="3" customWidth="1"/>
    <col min="7433" max="7433" width="16.6640625" style="3" customWidth="1"/>
    <col min="7434" max="7434" width="22.109375" style="3" customWidth="1"/>
    <col min="7435" max="7435" width="34.33203125" style="3" customWidth="1"/>
    <col min="7436" max="7436" width="26.109375" style="3" customWidth="1"/>
    <col min="7437" max="7437" width="11" style="3" customWidth="1"/>
    <col min="7438" max="7438" width="24.5546875" style="3" customWidth="1"/>
    <col min="7439" max="7439" width="4.44140625" style="3" customWidth="1"/>
    <col min="7440" max="7447" width="10.6640625" style="3" customWidth="1"/>
    <col min="7448" max="7448" width="11.6640625" style="3" customWidth="1"/>
    <col min="7449" max="7449" width="10.6640625" style="3" customWidth="1"/>
    <col min="7450" max="7450" width="11.33203125" style="3" customWidth="1"/>
    <col min="7451" max="7451" width="10.6640625" style="3" customWidth="1"/>
    <col min="7452" max="7452" width="20.44140625" style="3" customWidth="1"/>
    <col min="7453" max="7453" width="11.33203125" style="3" customWidth="1"/>
    <col min="7454" max="7454" width="11" style="3" customWidth="1"/>
    <col min="7455" max="7456" width="12" style="3" customWidth="1"/>
    <col min="7457" max="7457" width="9.44140625" style="3" customWidth="1"/>
    <col min="7458" max="7458" width="10.6640625" style="3" customWidth="1"/>
    <col min="7459" max="7468" width="9" style="3" customWidth="1"/>
    <col min="7469" max="7469" width="20.44140625" style="3" customWidth="1"/>
    <col min="7470" max="7470" width="12.44140625" style="3" customWidth="1"/>
    <col min="7471" max="7471" width="13.109375" style="3" customWidth="1"/>
    <col min="7472" max="7484" width="11.44140625" style="3"/>
    <col min="7485" max="7485" width="16.109375" style="3" customWidth="1"/>
    <col min="7486" max="7486" width="16.44140625" style="3" customWidth="1"/>
    <col min="7487" max="7498" width="11.44140625" style="3"/>
    <col min="7499" max="7499" width="12.6640625" style="3" customWidth="1"/>
    <col min="7500" max="7500" width="12" style="3" customWidth="1"/>
    <col min="7501" max="7512" width="11.44140625" style="3"/>
    <col min="7513" max="7513" width="12.5546875" style="3" customWidth="1"/>
    <col min="7514" max="7514" width="14.6640625" style="3" customWidth="1"/>
    <col min="7515" max="7524" width="13.33203125" style="3" customWidth="1"/>
    <col min="7525" max="7525" width="16.33203125" style="3" customWidth="1"/>
    <col min="7526" max="7526" width="17" style="3" customWidth="1"/>
    <col min="7527" max="7527" width="15.44140625" style="3" customWidth="1"/>
    <col min="7528" max="7528" width="15.88671875" style="3" customWidth="1"/>
    <col min="7529" max="7529" width="13.33203125" style="3" bestFit="1" customWidth="1"/>
    <col min="7530" max="7540" width="0" style="3" hidden="1" customWidth="1"/>
    <col min="7541" max="7541" width="15.44140625" style="3" customWidth="1"/>
    <col min="7542" max="7542" width="15.88671875" style="3" customWidth="1"/>
    <col min="7543" max="7678" width="11.44140625" style="3"/>
    <col min="7679" max="7679" width="4.109375" style="3" customWidth="1"/>
    <col min="7680" max="7680" width="23.33203125" style="3" customWidth="1"/>
    <col min="7681" max="7681" width="13.44140625" style="3" customWidth="1"/>
    <col min="7682" max="7682" width="19" style="3" customWidth="1"/>
    <col min="7683" max="7683" width="10.5546875" style="3" customWidth="1"/>
    <col min="7684" max="7684" width="14.109375" style="3" bestFit="1" customWidth="1"/>
    <col min="7685" max="7685" width="16.88671875" style="3" customWidth="1"/>
    <col min="7686" max="7686" width="20.5546875" style="3" customWidth="1"/>
    <col min="7687" max="7687" width="5.109375" style="3" customWidth="1"/>
    <col min="7688" max="7688" width="5.6640625" style="3" customWidth="1"/>
    <col min="7689" max="7689" width="16.6640625" style="3" customWidth="1"/>
    <col min="7690" max="7690" width="22.109375" style="3" customWidth="1"/>
    <col min="7691" max="7691" width="34.33203125" style="3" customWidth="1"/>
    <col min="7692" max="7692" width="26.109375" style="3" customWidth="1"/>
    <col min="7693" max="7693" width="11" style="3" customWidth="1"/>
    <col min="7694" max="7694" width="24.5546875" style="3" customWidth="1"/>
    <col min="7695" max="7695" width="4.44140625" style="3" customWidth="1"/>
    <col min="7696" max="7703" width="10.6640625" style="3" customWidth="1"/>
    <col min="7704" max="7704" width="11.6640625" style="3" customWidth="1"/>
    <col min="7705" max="7705" width="10.6640625" style="3" customWidth="1"/>
    <col min="7706" max="7706" width="11.33203125" style="3" customWidth="1"/>
    <col min="7707" max="7707" width="10.6640625" style="3" customWidth="1"/>
    <col min="7708" max="7708" width="20.44140625" style="3" customWidth="1"/>
    <col min="7709" max="7709" width="11.33203125" style="3" customWidth="1"/>
    <col min="7710" max="7710" width="11" style="3" customWidth="1"/>
    <col min="7711" max="7712" width="12" style="3" customWidth="1"/>
    <col min="7713" max="7713" width="9.44140625" style="3" customWidth="1"/>
    <col min="7714" max="7714" width="10.6640625" style="3" customWidth="1"/>
    <col min="7715" max="7724" width="9" style="3" customWidth="1"/>
    <col min="7725" max="7725" width="20.44140625" style="3" customWidth="1"/>
    <col min="7726" max="7726" width="12.44140625" style="3" customWidth="1"/>
    <col min="7727" max="7727" width="13.109375" style="3" customWidth="1"/>
    <col min="7728" max="7740" width="11.44140625" style="3"/>
    <col min="7741" max="7741" width="16.109375" style="3" customWidth="1"/>
    <col min="7742" max="7742" width="16.44140625" style="3" customWidth="1"/>
    <col min="7743" max="7754" width="11.44140625" style="3"/>
    <col min="7755" max="7755" width="12.6640625" style="3" customWidth="1"/>
    <col min="7756" max="7756" width="12" style="3" customWidth="1"/>
    <col min="7757" max="7768" width="11.44140625" style="3"/>
    <col min="7769" max="7769" width="12.5546875" style="3" customWidth="1"/>
    <col min="7770" max="7770" width="14.6640625" style="3" customWidth="1"/>
    <col min="7771" max="7780" width="13.33203125" style="3" customWidth="1"/>
    <col min="7781" max="7781" width="16.33203125" style="3" customWidth="1"/>
    <col min="7782" max="7782" width="17" style="3" customWidth="1"/>
    <col min="7783" max="7783" width="15.44140625" style="3" customWidth="1"/>
    <col min="7784" max="7784" width="15.88671875" style="3" customWidth="1"/>
    <col min="7785" max="7785" width="13.33203125" style="3" bestFit="1" customWidth="1"/>
    <col min="7786" max="7796" width="0" style="3" hidden="1" customWidth="1"/>
    <col min="7797" max="7797" width="15.44140625" style="3" customWidth="1"/>
    <col min="7798" max="7798" width="15.88671875" style="3" customWidth="1"/>
    <col min="7799" max="7934" width="11.44140625" style="3"/>
    <col min="7935" max="7935" width="4.109375" style="3" customWidth="1"/>
    <col min="7936" max="7936" width="23.33203125" style="3" customWidth="1"/>
    <col min="7937" max="7937" width="13.44140625" style="3" customWidth="1"/>
    <col min="7938" max="7938" width="19" style="3" customWidth="1"/>
    <col min="7939" max="7939" width="10.5546875" style="3" customWidth="1"/>
    <col min="7940" max="7940" width="14.109375" style="3" bestFit="1" customWidth="1"/>
    <col min="7941" max="7941" width="16.88671875" style="3" customWidth="1"/>
    <col min="7942" max="7942" width="20.5546875" style="3" customWidth="1"/>
    <col min="7943" max="7943" width="5.109375" style="3" customWidth="1"/>
    <col min="7944" max="7944" width="5.6640625" style="3" customWidth="1"/>
    <col min="7945" max="7945" width="16.6640625" style="3" customWidth="1"/>
    <col min="7946" max="7946" width="22.109375" style="3" customWidth="1"/>
    <col min="7947" max="7947" width="34.33203125" style="3" customWidth="1"/>
    <col min="7948" max="7948" width="26.109375" style="3" customWidth="1"/>
    <col min="7949" max="7949" width="11" style="3" customWidth="1"/>
    <col min="7950" max="7950" width="24.5546875" style="3" customWidth="1"/>
    <col min="7951" max="7951" width="4.44140625" style="3" customWidth="1"/>
    <col min="7952" max="7959" width="10.6640625" style="3" customWidth="1"/>
    <col min="7960" max="7960" width="11.6640625" style="3" customWidth="1"/>
    <col min="7961" max="7961" width="10.6640625" style="3" customWidth="1"/>
    <col min="7962" max="7962" width="11.33203125" style="3" customWidth="1"/>
    <col min="7963" max="7963" width="10.6640625" style="3" customWidth="1"/>
    <col min="7964" max="7964" width="20.44140625" style="3" customWidth="1"/>
    <col min="7965" max="7965" width="11.33203125" style="3" customWidth="1"/>
    <col min="7966" max="7966" width="11" style="3" customWidth="1"/>
    <col min="7967" max="7968" width="12" style="3" customWidth="1"/>
    <col min="7969" max="7969" width="9.44140625" style="3" customWidth="1"/>
    <col min="7970" max="7970" width="10.6640625" style="3" customWidth="1"/>
    <col min="7971" max="7980" width="9" style="3" customWidth="1"/>
    <col min="7981" max="7981" width="20.44140625" style="3" customWidth="1"/>
    <col min="7982" max="7982" width="12.44140625" style="3" customWidth="1"/>
    <col min="7983" max="7983" width="13.109375" style="3" customWidth="1"/>
    <col min="7984" max="7996" width="11.44140625" style="3"/>
    <col min="7997" max="7997" width="16.109375" style="3" customWidth="1"/>
    <col min="7998" max="7998" width="16.44140625" style="3" customWidth="1"/>
    <col min="7999" max="8010" width="11.44140625" style="3"/>
    <col min="8011" max="8011" width="12.6640625" style="3" customWidth="1"/>
    <col min="8012" max="8012" width="12" style="3" customWidth="1"/>
    <col min="8013" max="8024" width="11.44140625" style="3"/>
    <col min="8025" max="8025" width="12.5546875" style="3" customWidth="1"/>
    <col min="8026" max="8026" width="14.6640625" style="3" customWidth="1"/>
    <col min="8027" max="8036" width="13.33203125" style="3" customWidth="1"/>
    <col min="8037" max="8037" width="16.33203125" style="3" customWidth="1"/>
    <col min="8038" max="8038" width="17" style="3" customWidth="1"/>
    <col min="8039" max="8039" width="15.44140625" style="3" customWidth="1"/>
    <col min="8040" max="8040" width="15.88671875" style="3" customWidth="1"/>
    <col min="8041" max="8041" width="13.33203125" style="3" bestFit="1" customWidth="1"/>
    <col min="8042" max="8052" width="0" style="3" hidden="1" customWidth="1"/>
    <col min="8053" max="8053" width="15.44140625" style="3" customWidth="1"/>
    <col min="8054" max="8054" width="15.88671875" style="3" customWidth="1"/>
    <col min="8055" max="8190" width="11.44140625" style="3"/>
    <col min="8191" max="8191" width="4.109375" style="3" customWidth="1"/>
    <col min="8192" max="8192" width="23.33203125" style="3" customWidth="1"/>
    <col min="8193" max="8193" width="13.44140625" style="3" customWidth="1"/>
    <col min="8194" max="8194" width="19" style="3" customWidth="1"/>
    <col min="8195" max="8195" width="10.5546875" style="3" customWidth="1"/>
    <col min="8196" max="8196" width="14.109375" style="3" bestFit="1" customWidth="1"/>
    <col min="8197" max="8197" width="16.88671875" style="3" customWidth="1"/>
    <col min="8198" max="8198" width="20.5546875" style="3" customWidth="1"/>
    <col min="8199" max="8199" width="5.109375" style="3" customWidth="1"/>
    <col min="8200" max="8200" width="5.6640625" style="3" customWidth="1"/>
    <col min="8201" max="8201" width="16.6640625" style="3" customWidth="1"/>
    <col min="8202" max="8202" width="22.109375" style="3" customWidth="1"/>
    <col min="8203" max="8203" width="34.33203125" style="3" customWidth="1"/>
    <col min="8204" max="8204" width="26.109375" style="3" customWidth="1"/>
    <col min="8205" max="8205" width="11" style="3" customWidth="1"/>
    <col min="8206" max="8206" width="24.5546875" style="3" customWidth="1"/>
    <col min="8207" max="8207" width="4.44140625" style="3" customWidth="1"/>
    <col min="8208" max="8215" width="10.6640625" style="3" customWidth="1"/>
    <col min="8216" max="8216" width="11.6640625" style="3" customWidth="1"/>
    <col min="8217" max="8217" width="10.6640625" style="3" customWidth="1"/>
    <col min="8218" max="8218" width="11.33203125" style="3" customWidth="1"/>
    <col min="8219" max="8219" width="10.6640625" style="3" customWidth="1"/>
    <col min="8220" max="8220" width="20.44140625" style="3" customWidth="1"/>
    <col min="8221" max="8221" width="11.33203125" style="3" customWidth="1"/>
    <col min="8222" max="8222" width="11" style="3" customWidth="1"/>
    <col min="8223" max="8224" width="12" style="3" customWidth="1"/>
    <col min="8225" max="8225" width="9.44140625" style="3" customWidth="1"/>
    <col min="8226" max="8226" width="10.6640625" style="3" customWidth="1"/>
    <col min="8227" max="8236" width="9" style="3" customWidth="1"/>
    <col min="8237" max="8237" width="20.44140625" style="3" customWidth="1"/>
    <col min="8238" max="8238" width="12.44140625" style="3" customWidth="1"/>
    <col min="8239" max="8239" width="13.109375" style="3" customWidth="1"/>
    <col min="8240" max="8252" width="11.44140625" style="3"/>
    <col min="8253" max="8253" width="16.109375" style="3" customWidth="1"/>
    <col min="8254" max="8254" width="16.44140625" style="3" customWidth="1"/>
    <col min="8255" max="8266" width="11.44140625" style="3"/>
    <col min="8267" max="8267" width="12.6640625" style="3" customWidth="1"/>
    <col min="8268" max="8268" width="12" style="3" customWidth="1"/>
    <col min="8269" max="8280" width="11.44140625" style="3"/>
    <col min="8281" max="8281" width="12.5546875" style="3" customWidth="1"/>
    <col min="8282" max="8282" width="14.6640625" style="3" customWidth="1"/>
    <col min="8283" max="8292" width="13.33203125" style="3" customWidth="1"/>
    <col min="8293" max="8293" width="16.33203125" style="3" customWidth="1"/>
    <col min="8294" max="8294" width="17" style="3" customWidth="1"/>
    <col min="8295" max="8295" width="15.44140625" style="3" customWidth="1"/>
    <col min="8296" max="8296" width="15.88671875" style="3" customWidth="1"/>
    <col min="8297" max="8297" width="13.33203125" style="3" bestFit="1" customWidth="1"/>
    <col min="8298" max="8308" width="0" style="3" hidden="1" customWidth="1"/>
    <col min="8309" max="8309" width="15.44140625" style="3" customWidth="1"/>
    <col min="8310" max="8310" width="15.88671875" style="3" customWidth="1"/>
    <col min="8311" max="8446" width="11.44140625" style="3"/>
    <col min="8447" max="8447" width="4.109375" style="3" customWidth="1"/>
    <col min="8448" max="8448" width="23.33203125" style="3" customWidth="1"/>
    <col min="8449" max="8449" width="13.44140625" style="3" customWidth="1"/>
    <col min="8450" max="8450" width="19" style="3" customWidth="1"/>
    <col min="8451" max="8451" width="10.5546875" style="3" customWidth="1"/>
    <col min="8452" max="8452" width="14.109375" style="3" bestFit="1" customWidth="1"/>
    <col min="8453" max="8453" width="16.88671875" style="3" customWidth="1"/>
    <col min="8454" max="8454" width="20.5546875" style="3" customWidth="1"/>
    <col min="8455" max="8455" width="5.109375" style="3" customWidth="1"/>
    <col min="8456" max="8456" width="5.6640625" style="3" customWidth="1"/>
    <col min="8457" max="8457" width="16.6640625" style="3" customWidth="1"/>
    <col min="8458" max="8458" width="22.109375" style="3" customWidth="1"/>
    <col min="8459" max="8459" width="34.33203125" style="3" customWidth="1"/>
    <col min="8460" max="8460" width="26.109375" style="3" customWidth="1"/>
    <col min="8461" max="8461" width="11" style="3" customWidth="1"/>
    <col min="8462" max="8462" width="24.5546875" style="3" customWidth="1"/>
    <col min="8463" max="8463" width="4.44140625" style="3" customWidth="1"/>
    <col min="8464" max="8471" width="10.6640625" style="3" customWidth="1"/>
    <col min="8472" max="8472" width="11.6640625" style="3" customWidth="1"/>
    <col min="8473" max="8473" width="10.6640625" style="3" customWidth="1"/>
    <col min="8474" max="8474" width="11.33203125" style="3" customWidth="1"/>
    <col min="8475" max="8475" width="10.6640625" style="3" customWidth="1"/>
    <col min="8476" max="8476" width="20.44140625" style="3" customWidth="1"/>
    <col min="8477" max="8477" width="11.33203125" style="3" customWidth="1"/>
    <col min="8478" max="8478" width="11" style="3" customWidth="1"/>
    <col min="8479" max="8480" width="12" style="3" customWidth="1"/>
    <col min="8481" max="8481" width="9.44140625" style="3" customWidth="1"/>
    <col min="8482" max="8482" width="10.6640625" style="3" customWidth="1"/>
    <col min="8483" max="8492" width="9" style="3" customWidth="1"/>
    <col min="8493" max="8493" width="20.44140625" style="3" customWidth="1"/>
    <col min="8494" max="8494" width="12.44140625" style="3" customWidth="1"/>
    <col min="8495" max="8495" width="13.109375" style="3" customWidth="1"/>
    <col min="8496" max="8508" width="11.44140625" style="3"/>
    <col min="8509" max="8509" width="16.109375" style="3" customWidth="1"/>
    <col min="8510" max="8510" width="16.44140625" style="3" customWidth="1"/>
    <col min="8511" max="8522" width="11.44140625" style="3"/>
    <col min="8523" max="8523" width="12.6640625" style="3" customWidth="1"/>
    <col min="8524" max="8524" width="12" style="3" customWidth="1"/>
    <col min="8525" max="8536" width="11.44140625" style="3"/>
    <col min="8537" max="8537" width="12.5546875" style="3" customWidth="1"/>
    <col min="8538" max="8538" width="14.6640625" style="3" customWidth="1"/>
    <col min="8539" max="8548" width="13.33203125" style="3" customWidth="1"/>
    <col min="8549" max="8549" width="16.33203125" style="3" customWidth="1"/>
    <col min="8550" max="8550" width="17" style="3" customWidth="1"/>
    <col min="8551" max="8551" width="15.44140625" style="3" customWidth="1"/>
    <col min="8552" max="8552" width="15.88671875" style="3" customWidth="1"/>
    <col min="8553" max="8553" width="13.33203125" style="3" bestFit="1" customWidth="1"/>
    <col min="8554" max="8564" width="0" style="3" hidden="1" customWidth="1"/>
    <col min="8565" max="8565" width="15.44140625" style="3" customWidth="1"/>
    <col min="8566" max="8566" width="15.88671875" style="3" customWidth="1"/>
    <col min="8567" max="8702" width="11.44140625" style="3"/>
    <col min="8703" max="8703" width="4.109375" style="3" customWidth="1"/>
    <col min="8704" max="8704" width="23.33203125" style="3" customWidth="1"/>
    <col min="8705" max="8705" width="13.44140625" style="3" customWidth="1"/>
    <col min="8706" max="8706" width="19" style="3" customWidth="1"/>
    <col min="8707" max="8707" width="10.5546875" style="3" customWidth="1"/>
    <col min="8708" max="8708" width="14.109375" style="3" bestFit="1" customWidth="1"/>
    <col min="8709" max="8709" width="16.88671875" style="3" customWidth="1"/>
    <col min="8710" max="8710" width="20.5546875" style="3" customWidth="1"/>
    <col min="8711" max="8711" width="5.109375" style="3" customWidth="1"/>
    <col min="8712" max="8712" width="5.6640625" style="3" customWidth="1"/>
    <col min="8713" max="8713" width="16.6640625" style="3" customWidth="1"/>
    <col min="8714" max="8714" width="22.109375" style="3" customWidth="1"/>
    <col min="8715" max="8715" width="34.33203125" style="3" customWidth="1"/>
    <col min="8716" max="8716" width="26.109375" style="3" customWidth="1"/>
    <col min="8717" max="8717" width="11" style="3" customWidth="1"/>
    <col min="8718" max="8718" width="24.5546875" style="3" customWidth="1"/>
    <col min="8719" max="8719" width="4.44140625" style="3" customWidth="1"/>
    <col min="8720" max="8727" width="10.6640625" style="3" customWidth="1"/>
    <col min="8728" max="8728" width="11.6640625" style="3" customWidth="1"/>
    <col min="8729" max="8729" width="10.6640625" style="3" customWidth="1"/>
    <col min="8730" max="8730" width="11.33203125" style="3" customWidth="1"/>
    <col min="8731" max="8731" width="10.6640625" style="3" customWidth="1"/>
    <col min="8732" max="8732" width="20.44140625" style="3" customWidth="1"/>
    <col min="8733" max="8733" width="11.33203125" style="3" customWidth="1"/>
    <col min="8734" max="8734" width="11" style="3" customWidth="1"/>
    <col min="8735" max="8736" width="12" style="3" customWidth="1"/>
    <col min="8737" max="8737" width="9.44140625" style="3" customWidth="1"/>
    <col min="8738" max="8738" width="10.6640625" style="3" customWidth="1"/>
    <col min="8739" max="8748" width="9" style="3" customWidth="1"/>
    <col min="8749" max="8749" width="20.44140625" style="3" customWidth="1"/>
    <col min="8750" max="8750" width="12.44140625" style="3" customWidth="1"/>
    <col min="8751" max="8751" width="13.109375" style="3" customWidth="1"/>
    <col min="8752" max="8764" width="11.44140625" style="3"/>
    <col min="8765" max="8765" width="16.109375" style="3" customWidth="1"/>
    <col min="8766" max="8766" width="16.44140625" style="3" customWidth="1"/>
    <col min="8767" max="8778" width="11.44140625" style="3"/>
    <col min="8779" max="8779" width="12.6640625" style="3" customWidth="1"/>
    <col min="8780" max="8780" width="12" style="3" customWidth="1"/>
    <col min="8781" max="8792" width="11.44140625" style="3"/>
    <col min="8793" max="8793" width="12.5546875" style="3" customWidth="1"/>
    <col min="8794" max="8794" width="14.6640625" style="3" customWidth="1"/>
    <col min="8795" max="8804" width="13.33203125" style="3" customWidth="1"/>
    <col min="8805" max="8805" width="16.33203125" style="3" customWidth="1"/>
    <col min="8806" max="8806" width="17" style="3" customWidth="1"/>
    <col min="8807" max="8807" width="15.44140625" style="3" customWidth="1"/>
    <col min="8808" max="8808" width="15.88671875" style="3" customWidth="1"/>
    <col min="8809" max="8809" width="13.33203125" style="3" bestFit="1" customWidth="1"/>
    <col min="8810" max="8820" width="0" style="3" hidden="1" customWidth="1"/>
    <col min="8821" max="8821" width="15.44140625" style="3" customWidth="1"/>
    <col min="8822" max="8822" width="15.88671875" style="3" customWidth="1"/>
    <col min="8823" max="8958" width="11.44140625" style="3"/>
    <col min="8959" max="8959" width="4.109375" style="3" customWidth="1"/>
    <col min="8960" max="8960" width="23.33203125" style="3" customWidth="1"/>
    <col min="8961" max="8961" width="13.44140625" style="3" customWidth="1"/>
    <col min="8962" max="8962" width="19" style="3" customWidth="1"/>
    <col min="8963" max="8963" width="10.5546875" style="3" customWidth="1"/>
    <col min="8964" max="8964" width="14.109375" style="3" bestFit="1" customWidth="1"/>
    <col min="8965" max="8965" width="16.88671875" style="3" customWidth="1"/>
    <col min="8966" max="8966" width="20.5546875" style="3" customWidth="1"/>
    <col min="8967" max="8967" width="5.109375" style="3" customWidth="1"/>
    <col min="8968" max="8968" width="5.6640625" style="3" customWidth="1"/>
    <col min="8969" max="8969" width="16.6640625" style="3" customWidth="1"/>
    <col min="8970" max="8970" width="22.109375" style="3" customWidth="1"/>
    <col min="8971" max="8971" width="34.33203125" style="3" customWidth="1"/>
    <col min="8972" max="8972" width="26.109375" style="3" customWidth="1"/>
    <col min="8973" max="8973" width="11" style="3" customWidth="1"/>
    <col min="8974" max="8974" width="24.5546875" style="3" customWidth="1"/>
    <col min="8975" max="8975" width="4.44140625" style="3" customWidth="1"/>
    <col min="8976" max="8983" width="10.6640625" style="3" customWidth="1"/>
    <col min="8984" max="8984" width="11.6640625" style="3" customWidth="1"/>
    <col min="8985" max="8985" width="10.6640625" style="3" customWidth="1"/>
    <col min="8986" max="8986" width="11.33203125" style="3" customWidth="1"/>
    <col min="8987" max="8987" width="10.6640625" style="3" customWidth="1"/>
    <col min="8988" max="8988" width="20.44140625" style="3" customWidth="1"/>
    <col min="8989" max="8989" width="11.33203125" style="3" customWidth="1"/>
    <col min="8990" max="8990" width="11" style="3" customWidth="1"/>
    <col min="8991" max="8992" width="12" style="3" customWidth="1"/>
    <col min="8993" max="8993" width="9.44140625" style="3" customWidth="1"/>
    <col min="8994" max="8994" width="10.6640625" style="3" customWidth="1"/>
    <col min="8995" max="9004" width="9" style="3" customWidth="1"/>
    <col min="9005" max="9005" width="20.44140625" style="3" customWidth="1"/>
    <col min="9006" max="9006" width="12.44140625" style="3" customWidth="1"/>
    <col min="9007" max="9007" width="13.109375" style="3" customWidth="1"/>
    <col min="9008" max="9020" width="11.44140625" style="3"/>
    <col min="9021" max="9021" width="16.109375" style="3" customWidth="1"/>
    <col min="9022" max="9022" width="16.44140625" style="3" customWidth="1"/>
    <col min="9023" max="9034" width="11.44140625" style="3"/>
    <col min="9035" max="9035" width="12.6640625" style="3" customWidth="1"/>
    <col min="9036" max="9036" width="12" style="3" customWidth="1"/>
    <col min="9037" max="9048" width="11.44140625" style="3"/>
    <col min="9049" max="9049" width="12.5546875" style="3" customWidth="1"/>
    <col min="9050" max="9050" width="14.6640625" style="3" customWidth="1"/>
    <col min="9051" max="9060" width="13.33203125" style="3" customWidth="1"/>
    <col min="9061" max="9061" width="16.33203125" style="3" customWidth="1"/>
    <col min="9062" max="9062" width="17" style="3" customWidth="1"/>
    <col min="9063" max="9063" width="15.44140625" style="3" customWidth="1"/>
    <col min="9064" max="9064" width="15.88671875" style="3" customWidth="1"/>
    <col min="9065" max="9065" width="13.33203125" style="3" bestFit="1" customWidth="1"/>
    <col min="9066" max="9076" width="0" style="3" hidden="1" customWidth="1"/>
    <col min="9077" max="9077" width="15.44140625" style="3" customWidth="1"/>
    <col min="9078" max="9078" width="15.88671875" style="3" customWidth="1"/>
    <col min="9079" max="9214" width="11.44140625" style="3"/>
    <col min="9215" max="9215" width="4.109375" style="3" customWidth="1"/>
    <col min="9216" max="9216" width="23.33203125" style="3" customWidth="1"/>
    <col min="9217" max="9217" width="13.44140625" style="3" customWidth="1"/>
    <col min="9218" max="9218" width="19" style="3" customWidth="1"/>
    <col min="9219" max="9219" width="10.5546875" style="3" customWidth="1"/>
    <col min="9220" max="9220" width="14.109375" style="3" bestFit="1" customWidth="1"/>
    <col min="9221" max="9221" width="16.88671875" style="3" customWidth="1"/>
    <col min="9222" max="9222" width="20.5546875" style="3" customWidth="1"/>
    <col min="9223" max="9223" width="5.109375" style="3" customWidth="1"/>
    <col min="9224" max="9224" width="5.6640625" style="3" customWidth="1"/>
    <col min="9225" max="9225" width="16.6640625" style="3" customWidth="1"/>
    <col min="9226" max="9226" width="22.109375" style="3" customWidth="1"/>
    <col min="9227" max="9227" width="34.33203125" style="3" customWidth="1"/>
    <col min="9228" max="9228" width="26.109375" style="3" customWidth="1"/>
    <col min="9229" max="9229" width="11" style="3" customWidth="1"/>
    <col min="9230" max="9230" width="24.5546875" style="3" customWidth="1"/>
    <col min="9231" max="9231" width="4.44140625" style="3" customWidth="1"/>
    <col min="9232" max="9239" width="10.6640625" style="3" customWidth="1"/>
    <col min="9240" max="9240" width="11.6640625" style="3" customWidth="1"/>
    <col min="9241" max="9241" width="10.6640625" style="3" customWidth="1"/>
    <col min="9242" max="9242" width="11.33203125" style="3" customWidth="1"/>
    <col min="9243" max="9243" width="10.6640625" style="3" customWidth="1"/>
    <col min="9244" max="9244" width="20.44140625" style="3" customWidth="1"/>
    <col min="9245" max="9245" width="11.33203125" style="3" customWidth="1"/>
    <col min="9246" max="9246" width="11" style="3" customWidth="1"/>
    <col min="9247" max="9248" width="12" style="3" customWidth="1"/>
    <col min="9249" max="9249" width="9.44140625" style="3" customWidth="1"/>
    <col min="9250" max="9250" width="10.6640625" style="3" customWidth="1"/>
    <col min="9251" max="9260" width="9" style="3" customWidth="1"/>
    <col min="9261" max="9261" width="20.44140625" style="3" customWidth="1"/>
    <col min="9262" max="9262" width="12.44140625" style="3" customWidth="1"/>
    <col min="9263" max="9263" width="13.109375" style="3" customWidth="1"/>
    <col min="9264" max="9276" width="11.44140625" style="3"/>
    <col min="9277" max="9277" width="16.109375" style="3" customWidth="1"/>
    <col min="9278" max="9278" width="16.44140625" style="3" customWidth="1"/>
    <col min="9279" max="9290" width="11.44140625" style="3"/>
    <col min="9291" max="9291" width="12.6640625" style="3" customWidth="1"/>
    <col min="9292" max="9292" width="12" style="3" customWidth="1"/>
    <col min="9293" max="9304" width="11.44140625" style="3"/>
    <col min="9305" max="9305" width="12.5546875" style="3" customWidth="1"/>
    <col min="9306" max="9306" width="14.6640625" style="3" customWidth="1"/>
    <col min="9307" max="9316" width="13.33203125" style="3" customWidth="1"/>
    <col min="9317" max="9317" width="16.33203125" style="3" customWidth="1"/>
    <col min="9318" max="9318" width="17" style="3" customWidth="1"/>
    <col min="9319" max="9319" width="15.44140625" style="3" customWidth="1"/>
    <col min="9320" max="9320" width="15.88671875" style="3" customWidth="1"/>
    <col min="9321" max="9321" width="13.33203125" style="3" bestFit="1" customWidth="1"/>
    <col min="9322" max="9332" width="0" style="3" hidden="1" customWidth="1"/>
    <col min="9333" max="9333" width="15.44140625" style="3" customWidth="1"/>
    <col min="9334" max="9334" width="15.88671875" style="3" customWidth="1"/>
    <col min="9335" max="9470" width="11.44140625" style="3"/>
    <col min="9471" max="9471" width="4.109375" style="3" customWidth="1"/>
    <col min="9472" max="9472" width="23.33203125" style="3" customWidth="1"/>
    <col min="9473" max="9473" width="13.44140625" style="3" customWidth="1"/>
    <col min="9474" max="9474" width="19" style="3" customWidth="1"/>
    <col min="9475" max="9475" width="10.5546875" style="3" customWidth="1"/>
    <col min="9476" max="9476" width="14.109375" style="3" bestFit="1" customWidth="1"/>
    <col min="9477" max="9477" width="16.88671875" style="3" customWidth="1"/>
    <col min="9478" max="9478" width="20.5546875" style="3" customWidth="1"/>
    <col min="9479" max="9479" width="5.109375" style="3" customWidth="1"/>
    <col min="9480" max="9480" width="5.6640625" style="3" customWidth="1"/>
    <col min="9481" max="9481" width="16.6640625" style="3" customWidth="1"/>
    <col min="9482" max="9482" width="22.109375" style="3" customWidth="1"/>
    <col min="9483" max="9483" width="34.33203125" style="3" customWidth="1"/>
    <col min="9484" max="9484" width="26.109375" style="3" customWidth="1"/>
    <col min="9485" max="9485" width="11" style="3" customWidth="1"/>
    <col min="9486" max="9486" width="24.5546875" style="3" customWidth="1"/>
    <col min="9487" max="9487" width="4.44140625" style="3" customWidth="1"/>
    <col min="9488" max="9495" width="10.6640625" style="3" customWidth="1"/>
    <col min="9496" max="9496" width="11.6640625" style="3" customWidth="1"/>
    <col min="9497" max="9497" width="10.6640625" style="3" customWidth="1"/>
    <col min="9498" max="9498" width="11.33203125" style="3" customWidth="1"/>
    <col min="9499" max="9499" width="10.6640625" style="3" customWidth="1"/>
    <col min="9500" max="9500" width="20.44140625" style="3" customWidth="1"/>
    <col min="9501" max="9501" width="11.33203125" style="3" customWidth="1"/>
    <col min="9502" max="9502" width="11" style="3" customWidth="1"/>
    <col min="9503" max="9504" width="12" style="3" customWidth="1"/>
    <col min="9505" max="9505" width="9.44140625" style="3" customWidth="1"/>
    <col min="9506" max="9506" width="10.6640625" style="3" customWidth="1"/>
    <col min="9507" max="9516" width="9" style="3" customWidth="1"/>
    <col min="9517" max="9517" width="20.44140625" style="3" customWidth="1"/>
    <col min="9518" max="9518" width="12.44140625" style="3" customWidth="1"/>
    <col min="9519" max="9519" width="13.109375" style="3" customWidth="1"/>
    <col min="9520" max="9532" width="11.44140625" style="3"/>
    <col min="9533" max="9533" width="16.109375" style="3" customWidth="1"/>
    <col min="9534" max="9534" width="16.44140625" style="3" customWidth="1"/>
    <col min="9535" max="9546" width="11.44140625" style="3"/>
    <col min="9547" max="9547" width="12.6640625" style="3" customWidth="1"/>
    <col min="9548" max="9548" width="12" style="3" customWidth="1"/>
    <col min="9549" max="9560" width="11.44140625" style="3"/>
    <col min="9561" max="9561" width="12.5546875" style="3" customWidth="1"/>
    <col min="9562" max="9562" width="14.6640625" style="3" customWidth="1"/>
    <col min="9563" max="9572" width="13.33203125" style="3" customWidth="1"/>
    <col min="9573" max="9573" width="16.33203125" style="3" customWidth="1"/>
    <col min="9574" max="9574" width="17" style="3" customWidth="1"/>
    <col min="9575" max="9575" width="15.44140625" style="3" customWidth="1"/>
    <col min="9576" max="9576" width="15.88671875" style="3" customWidth="1"/>
    <col min="9577" max="9577" width="13.33203125" style="3" bestFit="1" customWidth="1"/>
    <col min="9578" max="9588" width="0" style="3" hidden="1" customWidth="1"/>
    <col min="9589" max="9589" width="15.44140625" style="3" customWidth="1"/>
    <col min="9590" max="9590" width="15.88671875" style="3" customWidth="1"/>
    <col min="9591" max="9726" width="11.44140625" style="3"/>
    <col min="9727" max="9727" width="4.109375" style="3" customWidth="1"/>
    <col min="9728" max="9728" width="23.33203125" style="3" customWidth="1"/>
    <col min="9729" max="9729" width="13.44140625" style="3" customWidth="1"/>
    <col min="9730" max="9730" width="19" style="3" customWidth="1"/>
    <col min="9731" max="9731" width="10.5546875" style="3" customWidth="1"/>
    <col min="9732" max="9732" width="14.109375" style="3" bestFit="1" customWidth="1"/>
    <col min="9733" max="9733" width="16.88671875" style="3" customWidth="1"/>
    <col min="9734" max="9734" width="20.5546875" style="3" customWidth="1"/>
    <col min="9735" max="9735" width="5.109375" style="3" customWidth="1"/>
    <col min="9736" max="9736" width="5.6640625" style="3" customWidth="1"/>
    <col min="9737" max="9737" width="16.6640625" style="3" customWidth="1"/>
    <col min="9738" max="9738" width="22.109375" style="3" customWidth="1"/>
    <col min="9739" max="9739" width="34.33203125" style="3" customWidth="1"/>
    <col min="9740" max="9740" width="26.109375" style="3" customWidth="1"/>
    <col min="9741" max="9741" width="11" style="3" customWidth="1"/>
    <col min="9742" max="9742" width="24.5546875" style="3" customWidth="1"/>
    <col min="9743" max="9743" width="4.44140625" style="3" customWidth="1"/>
    <col min="9744" max="9751" width="10.6640625" style="3" customWidth="1"/>
    <col min="9752" max="9752" width="11.6640625" style="3" customWidth="1"/>
    <col min="9753" max="9753" width="10.6640625" style="3" customWidth="1"/>
    <col min="9754" max="9754" width="11.33203125" style="3" customWidth="1"/>
    <col min="9755" max="9755" width="10.6640625" style="3" customWidth="1"/>
    <col min="9756" max="9756" width="20.44140625" style="3" customWidth="1"/>
    <col min="9757" max="9757" width="11.33203125" style="3" customWidth="1"/>
    <col min="9758" max="9758" width="11" style="3" customWidth="1"/>
    <col min="9759" max="9760" width="12" style="3" customWidth="1"/>
    <col min="9761" max="9761" width="9.44140625" style="3" customWidth="1"/>
    <col min="9762" max="9762" width="10.6640625" style="3" customWidth="1"/>
    <col min="9763" max="9772" width="9" style="3" customWidth="1"/>
    <col min="9773" max="9773" width="20.44140625" style="3" customWidth="1"/>
    <col min="9774" max="9774" width="12.44140625" style="3" customWidth="1"/>
    <col min="9775" max="9775" width="13.109375" style="3" customWidth="1"/>
    <col min="9776" max="9788" width="11.44140625" style="3"/>
    <col min="9789" max="9789" width="16.109375" style="3" customWidth="1"/>
    <col min="9790" max="9790" width="16.44140625" style="3" customWidth="1"/>
    <col min="9791" max="9802" width="11.44140625" style="3"/>
    <col min="9803" max="9803" width="12.6640625" style="3" customWidth="1"/>
    <col min="9804" max="9804" width="12" style="3" customWidth="1"/>
    <col min="9805" max="9816" width="11.44140625" style="3"/>
    <col min="9817" max="9817" width="12.5546875" style="3" customWidth="1"/>
    <col min="9818" max="9818" width="14.6640625" style="3" customWidth="1"/>
    <col min="9819" max="9828" width="13.33203125" style="3" customWidth="1"/>
    <col min="9829" max="9829" width="16.33203125" style="3" customWidth="1"/>
    <col min="9830" max="9830" width="17" style="3" customWidth="1"/>
    <col min="9831" max="9831" width="15.44140625" style="3" customWidth="1"/>
    <col min="9832" max="9832" width="15.88671875" style="3" customWidth="1"/>
    <col min="9833" max="9833" width="13.33203125" style="3" bestFit="1" customWidth="1"/>
    <col min="9834" max="9844" width="0" style="3" hidden="1" customWidth="1"/>
    <col min="9845" max="9845" width="15.44140625" style="3" customWidth="1"/>
    <col min="9846" max="9846" width="15.88671875" style="3" customWidth="1"/>
    <col min="9847" max="9982" width="11.44140625" style="3"/>
    <col min="9983" max="9983" width="4.109375" style="3" customWidth="1"/>
    <col min="9984" max="9984" width="23.33203125" style="3" customWidth="1"/>
    <col min="9985" max="9985" width="13.44140625" style="3" customWidth="1"/>
    <col min="9986" max="9986" width="19" style="3" customWidth="1"/>
    <col min="9987" max="9987" width="10.5546875" style="3" customWidth="1"/>
    <col min="9988" max="9988" width="14.109375" style="3" bestFit="1" customWidth="1"/>
    <col min="9989" max="9989" width="16.88671875" style="3" customWidth="1"/>
    <col min="9990" max="9990" width="20.5546875" style="3" customWidth="1"/>
    <col min="9991" max="9991" width="5.109375" style="3" customWidth="1"/>
    <col min="9992" max="9992" width="5.6640625" style="3" customWidth="1"/>
    <col min="9993" max="9993" width="16.6640625" style="3" customWidth="1"/>
    <col min="9994" max="9994" width="22.109375" style="3" customWidth="1"/>
    <col min="9995" max="9995" width="34.33203125" style="3" customWidth="1"/>
    <col min="9996" max="9996" width="26.109375" style="3" customWidth="1"/>
    <col min="9997" max="9997" width="11" style="3" customWidth="1"/>
    <col min="9998" max="9998" width="24.5546875" style="3" customWidth="1"/>
    <col min="9999" max="9999" width="4.44140625" style="3" customWidth="1"/>
    <col min="10000" max="10007" width="10.6640625" style="3" customWidth="1"/>
    <col min="10008" max="10008" width="11.6640625" style="3" customWidth="1"/>
    <col min="10009" max="10009" width="10.6640625" style="3" customWidth="1"/>
    <col min="10010" max="10010" width="11.33203125" style="3" customWidth="1"/>
    <col min="10011" max="10011" width="10.6640625" style="3" customWidth="1"/>
    <col min="10012" max="10012" width="20.44140625" style="3" customWidth="1"/>
    <col min="10013" max="10013" width="11.33203125" style="3" customWidth="1"/>
    <col min="10014" max="10014" width="11" style="3" customWidth="1"/>
    <col min="10015" max="10016" width="12" style="3" customWidth="1"/>
    <col min="10017" max="10017" width="9.44140625" style="3" customWidth="1"/>
    <col min="10018" max="10018" width="10.6640625" style="3" customWidth="1"/>
    <col min="10019" max="10028" width="9" style="3" customWidth="1"/>
    <col min="10029" max="10029" width="20.44140625" style="3" customWidth="1"/>
    <col min="10030" max="10030" width="12.44140625" style="3" customWidth="1"/>
    <col min="10031" max="10031" width="13.109375" style="3" customWidth="1"/>
    <col min="10032" max="10044" width="11.44140625" style="3"/>
    <col min="10045" max="10045" width="16.109375" style="3" customWidth="1"/>
    <col min="10046" max="10046" width="16.44140625" style="3" customWidth="1"/>
    <col min="10047" max="10058" width="11.44140625" style="3"/>
    <col min="10059" max="10059" width="12.6640625" style="3" customWidth="1"/>
    <col min="10060" max="10060" width="12" style="3" customWidth="1"/>
    <col min="10061" max="10072" width="11.44140625" style="3"/>
    <col min="10073" max="10073" width="12.5546875" style="3" customWidth="1"/>
    <col min="10074" max="10074" width="14.6640625" style="3" customWidth="1"/>
    <col min="10075" max="10084" width="13.33203125" style="3" customWidth="1"/>
    <col min="10085" max="10085" width="16.33203125" style="3" customWidth="1"/>
    <col min="10086" max="10086" width="17" style="3" customWidth="1"/>
    <col min="10087" max="10087" width="15.44140625" style="3" customWidth="1"/>
    <col min="10088" max="10088" width="15.88671875" style="3" customWidth="1"/>
    <col min="10089" max="10089" width="13.33203125" style="3" bestFit="1" customWidth="1"/>
    <col min="10090" max="10100" width="0" style="3" hidden="1" customWidth="1"/>
    <col min="10101" max="10101" width="15.44140625" style="3" customWidth="1"/>
    <col min="10102" max="10102" width="15.88671875" style="3" customWidth="1"/>
    <col min="10103" max="10238" width="11.44140625" style="3"/>
    <col min="10239" max="10239" width="4.109375" style="3" customWidth="1"/>
    <col min="10240" max="10240" width="23.33203125" style="3" customWidth="1"/>
    <col min="10241" max="10241" width="13.44140625" style="3" customWidth="1"/>
    <col min="10242" max="10242" width="19" style="3" customWidth="1"/>
    <col min="10243" max="10243" width="10.5546875" style="3" customWidth="1"/>
    <col min="10244" max="10244" width="14.109375" style="3" bestFit="1" customWidth="1"/>
    <col min="10245" max="10245" width="16.88671875" style="3" customWidth="1"/>
    <col min="10246" max="10246" width="20.5546875" style="3" customWidth="1"/>
    <col min="10247" max="10247" width="5.109375" style="3" customWidth="1"/>
    <col min="10248" max="10248" width="5.6640625" style="3" customWidth="1"/>
    <col min="10249" max="10249" width="16.6640625" style="3" customWidth="1"/>
    <col min="10250" max="10250" width="22.109375" style="3" customWidth="1"/>
    <col min="10251" max="10251" width="34.33203125" style="3" customWidth="1"/>
    <col min="10252" max="10252" width="26.109375" style="3" customWidth="1"/>
    <col min="10253" max="10253" width="11" style="3" customWidth="1"/>
    <col min="10254" max="10254" width="24.5546875" style="3" customWidth="1"/>
    <col min="10255" max="10255" width="4.44140625" style="3" customWidth="1"/>
    <col min="10256" max="10263" width="10.6640625" style="3" customWidth="1"/>
    <col min="10264" max="10264" width="11.6640625" style="3" customWidth="1"/>
    <col min="10265" max="10265" width="10.6640625" style="3" customWidth="1"/>
    <col min="10266" max="10266" width="11.33203125" style="3" customWidth="1"/>
    <col min="10267" max="10267" width="10.6640625" style="3" customWidth="1"/>
    <col min="10268" max="10268" width="20.44140625" style="3" customWidth="1"/>
    <col min="10269" max="10269" width="11.33203125" style="3" customWidth="1"/>
    <col min="10270" max="10270" width="11" style="3" customWidth="1"/>
    <col min="10271" max="10272" width="12" style="3" customWidth="1"/>
    <col min="10273" max="10273" width="9.44140625" style="3" customWidth="1"/>
    <col min="10274" max="10274" width="10.6640625" style="3" customWidth="1"/>
    <col min="10275" max="10284" width="9" style="3" customWidth="1"/>
    <col min="10285" max="10285" width="20.44140625" style="3" customWidth="1"/>
    <col min="10286" max="10286" width="12.44140625" style="3" customWidth="1"/>
    <col min="10287" max="10287" width="13.109375" style="3" customWidth="1"/>
    <col min="10288" max="10300" width="11.44140625" style="3"/>
    <col min="10301" max="10301" width="16.109375" style="3" customWidth="1"/>
    <col min="10302" max="10302" width="16.44140625" style="3" customWidth="1"/>
    <col min="10303" max="10314" width="11.44140625" style="3"/>
    <col min="10315" max="10315" width="12.6640625" style="3" customWidth="1"/>
    <col min="10316" max="10316" width="12" style="3" customWidth="1"/>
    <col min="10317" max="10328" width="11.44140625" style="3"/>
    <col min="10329" max="10329" width="12.5546875" style="3" customWidth="1"/>
    <col min="10330" max="10330" width="14.6640625" style="3" customWidth="1"/>
    <col min="10331" max="10340" width="13.33203125" style="3" customWidth="1"/>
    <col min="10341" max="10341" width="16.33203125" style="3" customWidth="1"/>
    <col min="10342" max="10342" width="17" style="3" customWidth="1"/>
    <col min="10343" max="10343" width="15.44140625" style="3" customWidth="1"/>
    <col min="10344" max="10344" width="15.88671875" style="3" customWidth="1"/>
    <col min="10345" max="10345" width="13.33203125" style="3" bestFit="1" customWidth="1"/>
    <col min="10346" max="10356" width="0" style="3" hidden="1" customWidth="1"/>
    <col min="10357" max="10357" width="15.44140625" style="3" customWidth="1"/>
    <col min="10358" max="10358" width="15.88671875" style="3" customWidth="1"/>
    <col min="10359" max="10494" width="11.44140625" style="3"/>
    <col min="10495" max="10495" width="4.109375" style="3" customWidth="1"/>
    <col min="10496" max="10496" width="23.33203125" style="3" customWidth="1"/>
    <col min="10497" max="10497" width="13.44140625" style="3" customWidth="1"/>
    <col min="10498" max="10498" width="19" style="3" customWidth="1"/>
    <col min="10499" max="10499" width="10.5546875" style="3" customWidth="1"/>
    <col min="10500" max="10500" width="14.109375" style="3" bestFit="1" customWidth="1"/>
    <col min="10501" max="10501" width="16.88671875" style="3" customWidth="1"/>
    <col min="10502" max="10502" width="20.5546875" style="3" customWidth="1"/>
    <col min="10503" max="10503" width="5.109375" style="3" customWidth="1"/>
    <col min="10504" max="10504" width="5.6640625" style="3" customWidth="1"/>
    <col min="10505" max="10505" width="16.6640625" style="3" customWidth="1"/>
    <col min="10506" max="10506" width="22.109375" style="3" customWidth="1"/>
    <col min="10507" max="10507" width="34.33203125" style="3" customWidth="1"/>
    <col min="10508" max="10508" width="26.109375" style="3" customWidth="1"/>
    <col min="10509" max="10509" width="11" style="3" customWidth="1"/>
    <col min="10510" max="10510" width="24.5546875" style="3" customWidth="1"/>
    <col min="10511" max="10511" width="4.44140625" style="3" customWidth="1"/>
    <col min="10512" max="10519" width="10.6640625" style="3" customWidth="1"/>
    <col min="10520" max="10520" width="11.6640625" style="3" customWidth="1"/>
    <col min="10521" max="10521" width="10.6640625" style="3" customWidth="1"/>
    <col min="10522" max="10522" width="11.33203125" style="3" customWidth="1"/>
    <col min="10523" max="10523" width="10.6640625" style="3" customWidth="1"/>
    <col min="10524" max="10524" width="20.44140625" style="3" customWidth="1"/>
    <col min="10525" max="10525" width="11.33203125" style="3" customWidth="1"/>
    <col min="10526" max="10526" width="11" style="3" customWidth="1"/>
    <col min="10527" max="10528" width="12" style="3" customWidth="1"/>
    <col min="10529" max="10529" width="9.44140625" style="3" customWidth="1"/>
    <col min="10530" max="10530" width="10.6640625" style="3" customWidth="1"/>
    <col min="10531" max="10540" width="9" style="3" customWidth="1"/>
    <col min="10541" max="10541" width="20.44140625" style="3" customWidth="1"/>
    <col min="10542" max="10542" width="12.44140625" style="3" customWidth="1"/>
    <col min="10543" max="10543" width="13.109375" style="3" customWidth="1"/>
    <col min="10544" max="10556" width="11.44140625" style="3"/>
    <col min="10557" max="10557" width="16.109375" style="3" customWidth="1"/>
    <col min="10558" max="10558" width="16.44140625" style="3" customWidth="1"/>
    <col min="10559" max="10570" width="11.44140625" style="3"/>
    <col min="10571" max="10571" width="12.6640625" style="3" customWidth="1"/>
    <col min="10572" max="10572" width="12" style="3" customWidth="1"/>
    <col min="10573" max="10584" width="11.44140625" style="3"/>
    <col min="10585" max="10585" width="12.5546875" style="3" customWidth="1"/>
    <col min="10586" max="10586" width="14.6640625" style="3" customWidth="1"/>
    <col min="10587" max="10596" width="13.33203125" style="3" customWidth="1"/>
    <col min="10597" max="10597" width="16.33203125" style="3" customWidth="1"/>
    <col min="10598" max="10598" width="17" style="3" customWidth="1"/>
    <col min="10599" max="10599" width="15.44140625" style="3" customWidth="1"/>
    <col min="10600" max="10600" width="15.88671875" style="3" customWidth="1"/>
    <col min="10601" max="10601" width="13.33203125" style="3" bestFit="1" customWidth="1"/>
    <col min="10602" max="10612" width="0" style="3" hidden="1" customWidth="1"/>
    <col min="10613" max="10613" width="15.44140625" style="3" customWidth="1"/>
    <col min="10614" max="10614" width="15.88671875" style="3" customWidth="1"/>
    <col min="10615" max="10750" width="11.44140625" style="3"/>
    <col min="10751" max="10751" width="4.109375" style="3" customWidth="1"/>
    <col min="10752" max="10752" width="23.33203125" style="3" customWidth="1"/>
    <col min="10753" max="10753" width="13.44140625" style="3" customWidth="1"/>
    <col min="10754" max="10754" width="19" style="3" customWidth="1"/>
    <col min="10755" max="10755" width="10.5546875" style="3" customWidth="1"/>
    <col min="10756" max="10756" width="14.109375" style="3" bestFit="1" customWidth="1"/>
    <col min="10757" max="10757" width="16.88671875" style="3" customWidth="1"/>
    <col min="10758" max="10758" width="20.5546875" style="3" customWidth="1"/>
    <col min="10759" max="10759" width="5.109375" style="3" customWidth="1"/>
    <col min="10760" max="10760" width="5.6640625" style="3" customWidth="1"/>
    <col min="10761" max="10761" width="16.6640625" style="3" customWidth="1"/>
    <col min="10762" max="10762" width="22.109375" style="3" customWidth="1"/>
    <col min="10763" max="10763" width="34.33203125" style="3" customWidth="1"/>
    <col min="10764" max="10764" width="26.109375" style="3" customWidth="1"/>
    <col min="10765" max="10765" width="11" style="3" customWidth="1"/>
    <col min="10766" max="10766" width="24.5546875" style="3" customWidth="1"/>
    <col min="10767" max="10767" width="4.44140625" style="3" customWidth="1"/>
    <col min="10768" max="10775" width="10.6640625" style="3" customWidth="1"/>
    <col min="10776" max="10776" width="11.6640625" style="3" customWidth="1"/>
    <col min="10777" max="10777" width="10.6640625" style="3" customWidth="1"/>
    <col min="10778" max="10778" width="11.33203125" style="3" customWidth="1"/>
    <col min="10779" max="10779" width="10.6640625" style="3" customWidth="1"/>
    <col min="10780" max="10780" width="20.44140625" style="3" customWidth="1"/>
    <col min="10781" max="10781" width="11.33203125" style="3" customWidth="1"/>
    <col min="10782" max="10782" width="11" style="3" customWidth="1"/>
    <col min="10783" max="10784" width="12" style="3" customWidth="1"/>
    <col min="10785" max="10785" width="9.44140625" style="3" customWidth="1"/>
    <col min="10786" max="10786" width="10.6640625" style="3" customWidth="1"/>
    <col min="10787" max="10796" width="9" style="3" customWidth="1"/>
    <col min="10797" max="10797" width="20.44140625" style="3" customWidth="1"/>
    <col min="10798" max="10798" width="12.44140625" style="3" customWidth="1"/>
    <col min="10799" max="10799" width="13.109375" style="3" customWidth="1"/>
    <col min="10800" max="10812" width="11.44140625" style="3"/>
    <col min="10813" max="10813" width="16.109375" style="3" customWidth="1"/>
    <col min="10814" max="10814" width="16.44140625" style="3" customWidth="1"/>
    <col min="10815" max="10826" width="11.44140625" style="3"/>
    <col min="10827" max="10827" width="12.6640625" style="3" customWidth="1"/>
    <col min="10828" max="10828" width="12" style="3" customWidth="1"/>
    <col min="10829" max="10840" width="11.44140625" style="3"/>
    <col min="10841" max="10841" width="12.5546875" style="3" customWidth="1"/>
    <col min="10842" max="10842" width="14.6640625" style="3" customWidth="1"/>
    <col min="10843" max="10852" width="13.33203125" style="3" customWidth="1"/>
    <col min="10853" max="10853" width="16.33203125" style="3" customWidth="1"/>
    <col min="10854" max="10854" width="17" style="3" customWidth="1"/>
    <col min="10855" max="10855" width="15.44140625" style="3" customWidth="1"/>
    <col min="10856" max="10856" width="15.88671875" style="3" customWidth="1"/>
    <col min="10857" max="10857" width="13.33203125" style="3" bestFit="1" customWidth="1"/>
    <col min="10858" max="10868" width="0" style="3" hidden="1" customWidth="1"/>
    <col min="10869" max="10869" width="15.44140625" style="3" customWidth="1"/>
    <col min="10870" max="10870" width="15.88671875" style="3" customWidth="1"/>
    <col min="10871" max="11006" width="11.44140625" style="3"/>
    <col min="11007" max="11007" width="4.109375" style="3" customWidth="1"/>
    <col min="11008" max="11008" width="23.33203125" style="3" customWidth="1"/>
    <col min="11009" max="11009" width="13.44140625" style="3" customWidth="1"/>
    <col min="11010" max="11010" width="19" style="3" customWidth="1"/>
    <col min="11011" max="11011" width="10.5546875" style="3" customWidth="1"/>
    <col min="11012" max="11012" width="14.109375" style="3" bestFit="1" customWidth="1"/>
    <col min="11013" max="11013" width="16.88671875" style="3" customWidth="1"/>
    <col min="11014" max="11014" width="20.5546875" style="3" customWidth="1"/>
    <col min="11015" max="11015" width="5.109375" style="3" customWidth="1"/>
    <col min="11016" max="11016" width="5.6640625" style="3" customWidth="1"/>
    <col min="11017" max="11017" width="16.6640625" style="3" customWidth="1"/>
    <col min="11018" max="11018" width="22.109375" style="3" customWidth="1"/>
    <col min="11019" max="11019" width="34.33203125" style="3" customWidth="1"/>
    <col min="11020" max="11020" width="26.109375" style="3" customWidth="1"/>
    <col min="11021" max="11021" width="11" style="3" customWidth="1"/>
    <col min="11022" max="11022" width="24.5546875" style="3" customWidth="1"/>
    <col min="11023" max="11023" width="4.44140625" style="3" customWidth="1"/>
    <col min="11024" max="11031" width="10.6640625" style="3" customWidth="1"/>
    <col min="11032" max="11032" width="11.6640625" style="3" customWidth="1"/>
    <col min="11033" max="11033" width="10.6640625" style="3" customWidth="1"/>
    <col min="11034" max="11034" width="11.33203125" style="3" customWidth="1"/>
    <col min="11035" max="11035" width="10.6640625" style="3" customWidth="1"/>
    <col min="11036" max="11036" width="20.44140625" style="3" customWidth="1"/>
    <col min="11037" max="11037" width="11.33203125" style="3" customWidth="1"/>
    <col min="11038" max="11038" width="11" style="3" customWidth="1"/>
    <col min="11039" max="11040" width="12" style="3" customWidth="1"/>
    <col min="11041" max="11041" width="9.44140625" style="3" customWidth="1"/>
    <col min="11042" max="11042" width="10.6640625" style="3" customWidth="1"/>
    <col min="11043" max="11052" width="9" style="3" customWidth="1"/>
    <col min="11053" max="11053" width="20.44140625" style="3" customWidth="1"/>
    <col min="11054" max="11054" width="12.44140625" style="3" customWidth="1"/>
    <col min="11055" max="11055" width="13.109375" style="3" customWidth="1"/>
    <col min="11056" max="11068" width="11.44140625" style="3"/>
    <col min="11069" max="11069" width="16.109375" style="3" customWidth="1"/>
    <col min="11070" max="11070" width="16.44140625" style="3" customWidth="1"/>
    <col min="11071" max="11082" width="11.44140625" style="3"/>
    <col min="11083" max="11083" width="12.6640625" style="3" customWidth="1"/>
    <col min="11084" max="11084" width="12" style="3" customWidth="1"/>
    <col min="11085" max="11096" width="11.44140625" style="3"/>
    <col min="11097" max="11097" width="12.5546875" style="3" customWidth="1"/>
    <col min="11098" max="11098" width="14.6640625" style="3" customWidth="1"/>
    <col min="11099" max="11108" width="13.33203125" style="3" customWidth="1"/>
    <col min="11109" max="11109" width="16.33203125" style="3" customWidth="1"/>
    <col min="11110" max="11110" width="17" style="3" customWidth="1"/>
    <col min="11111" max="11111" width="15.44140625" style="3" customWidth="1"/>
    <col min="11112" max="11112" width="15.88671875" style="3" customWidth="1"/>
    <col min="11113" max="11113" width="13.33203125" style="3" bestFit="1" customWidth="1"/>
    <col min="11114" max="11124" width="0" style="3" hidden="1" customWidth="1"/>
    <col min="11125" max="11125" width="15.44140625" style="3" customWidth="1"/>
    <col min="11126" max="11126" width="15.88671875" style="3" customWidth="1"/>
    <col min="11127" max="11262" width="11.44140625" style="3"/>
    <col min="11263" max="11263" width="4.109375" style="3" customWidth="1"/>
    <col min="11264" max="11264" width="23.33203125" style="3" customWidth="1"/>
    <col min="11265" max="11265" width="13.44140625" style="3" customWidth="1"/>
    <col min="11266" max="11266" width="19" style="3" customWidth="1"/>
    <col min="11267" max="11267" width="10.5546875" style="3" customWidth="1"/>
    <col min="11268" max="11268" width="14.109375" style="3" bestFit="1" customWidth="1"/>
    <col min="11269" max="11269" width="16.88671875" style="3" customWidth="1"/>
    <col min="11270" max="11270" width="20.5546875" style="3" customWidth="1"/>
    <col min="11271" max="11271" width="5.109375" style="3" customWidth="1"/>
    <col min="11272" max="11272" width="5.6640625" style="3" customWidth="1"/>
    <col min="11273" max="11273" width="16.6640625" style="3" customWidth="1"/>
    <col min="11274" max="11274" width="22.109375" style="3" customWidth="1"/>
    <col min="11275" max="11275" width="34.33203125" style="3" customWidth="1"/>
    <col min="11276" max="11276" width="26.109375" style="3" customWidth="1"/>
    <col min="11277" max="11277" width="11" style="3" customWidth="1"/>
    <col min="11278" max="11278" width="24.5546875" style="3" customWidth="1"/>
    <col min="11279" max="11279" width="4.44140625" style="3" customWidth="1"/>
    <col min="11280" max="11287" width="10.6640625" style="3" customWidth="1"/>
    <col min="11288" max="11288" width="11.6640625" style="3" customWidth="1"/>
    <col min="11289" max="11289" width="10.6640625" style="3" customWidth="1"/>
    <col min="11290" max="11290" width="11.33203125" style="3" customWidth="1"/>
    <col min="11291" max="11291" width="10.6640625" style="3" customWidth="1"/>
    <col min="11292" max="11292" width="20.44140625" style="3" customWidth="1"/>
    <col min="11293" max="11293" width="11.33203125" style="3" customWidth="1"/>
    <col min="11294" max="11294" width="11" style="3" customWidth="1"/>
    <col min="11295" max="11296" width="12" style="3" customWidth="1"/>
    <col min="11297" max="11297" width="9.44140625" style="3" customWidth="1"/>
    <col min="11298" max="11298" width="10.6640625" style="3" customWidth="1"/>
    <col min="11299" max="11308" width="9" style="3" customWidth="1"/>
    <col min="11309" max="11309" width="20.44140625" style="3" customWidth="1"/>
    <col min="11310" max="11310" width="12.44140625" style="3" customWidth="1"/>
    <col min="11311" max="11311" width="13.109375" style="3" customWidth="1"/>
    <col min="11312" max="11324" width="11.44140625" style="3"/>
    <col min="11325" max="11325" width="16.109375" style="3" customWidth="1"/>
    <col min="11326" max="11326" width="16.44140625" style="3" customWidth="1"/>
    <col min="11327" max="11338" width="11.44140625" style="3"/>
    <col min="11339" max="11339" width="12.6640625" style="3" customWidth="1"/>
    <col min="11340" max="11340" width="12" style="3" customWidth="1"/>
    <col min="11341" max="11352" width="11.44140625" style="3"/>
    <col min="11353" max="11353" width="12.5546875" style="3" customWidth="1"/>
    <col min="11354" max="11354" width="14.6640625" style="3" customWidth="1"/>
    <col min="11355" max="11364" width="13.33203125" style="3" customWidth="1"/>
    <col min="11365" max="11365" width="16.33203125" style="3" customWidth="1"/>
    <col min="11366" max="11366" width="17" style="3" customWidth="1"/>
    <col min="11367" max="11367" width="15.44140625" style="3" customWidth="1"/>
    <col min="11368" max="11368" width="15.88671875" style="3" customWidth="1"/>
    <col min="11369" max="11369" width="13.33203125" style="3" bestFit="1" customWidth="1"/>
    <col min="11370" max="11380" width="0" style="3" hidden="1" customWidth="1"/>
    <col min="11381" max="11381" width="15.44140625" style="3" customWidth="1"/>
    <col min="11382" max="11382" width="15.88671875" style="3" customWidth="1"/>
    <col min="11383" max="11518" width="11.44140625" style="3"/>
    <col min="11519" max="11519" width="4.109375" style="3" customWidth="1"/>
    <col min="11520" max="11520" width="23.33203125" style="3" customWidth="1"/>
    <col min="11521" max="11521" width="13.44140625" style="3" customWidth="1"/>
    <col min="11522" max="11522" width="19" style="3" customWidth="1"/>
    <col min="11523" max="11523" width="10.5546875" style="3" customWidth="1"/>
    <col min="11524" max="11524" width="14.109375" style="3" bestFit="1" customWidth="1"/>
    <col min="11525" max="11525" width="16.88671875" style="3" customWidth="1"/>
    <col min="11526" max="11526" width="20.5546875" style="3" customWidth="1"/>
    <col min="11527" max="11527" width="5.109375" style="3" customWidth="1"/>
    <col min="11528" max="11528" width="5.6640625" style="3" customWidth="1"/>
    <col min="11529" max="11529" width="16.6640625" style="3" customWidth="1"/>
    <col min="11530" max="11530" width="22.109375" style="3" customWidth="1"/>
    <col min="11531" max="11531" width="34.33203125" style="3" customWidth="1"/>
    <col min="11532" max="11532" width="26.109375" style="3" customWidth="1"/>
    <col min="11533" max="11533" width="11" style="3" customWidth="1"/>
    <col min="11534" max="11534" width="24.5546875" style="3" customWidth="1"/>
    <col min="11535" max="11535" width="4.44140625" style="3" customWidth="1"/>
    <col min="11536" max="11543" width="10.6640625" style="3" customWidth="1"/>
    <col min="11544" max="11544" width="11.6640625" style="3" customWidth="1"/>
    <col min="11545" max="11545" width="10.6640625" style="3" customWidth="1"/>
    <col min="11546" max="11546" width="11.33203125" style="3" customWidth="1"/>
    <col min="11547" max="11547" width="10.6640625" style="3" customWidth="1"/>
    <col min="11548" max="11548" width="20.44140625" style="3" customWidth="1"/>
    <col min="11549" max="11549" width="11.33203125" style="3" customWidth="1"/>
    <col min="11550" max="11550" width="11" style="3" customWidth="1"/>
    <col min="11551" max="11552" width="12" style="3" customWidth="1"/>
    <col min="11553" max="11553" width="9.44140625" style="3" customWidth="1"/>
    <col min="11554" max="11554" width="10.6640625" style="3" customWidth="1"/>
    <col min="11555" max="11564" width="9" style="3" customWidth="1"/>
    <col min="11565" max="11565" width="20.44140625" style="3" customWidth="1"/>
    <col min="11566" max="11566" width="12.44140625" style="3" customWidth="1"/>
    <col min="11567" max="11567" width="13.109375" style="3" customWidth="1"/>
    <col min="11568" max="11580" width="11.44140625" style="3"/>
    <col min="11581" max="11581" width="16.109375" style="3" customWidth="1"/>
    <col min="11582" max="11582" width="16.44140625" style="3" customWidth="1"/>
    <col min="11583" max="11594" width="11.44140625" style="3"/>
    <col min="11595" max="11595" width="12.6640625" style="3" customWidth="1"/>
    <col min="11596" max="11596" width="12" style="3" customWidth="1"/>
    <col min="11597" max="11608" width="11.44140625" style="3"/>
    <col min="11609" max="11609" width="12.5546875" style="3" customWidth="1"/>
    <col min="11610" max="11610" width="14.6640625" style="3" customWidth="1"/>
    <col min="11611" max="11620" width="13.33203125" style="3" customWidth="1"/>
    <col min="11621" max="11621" width="16.33203125" style="3" customWidth="1"/>
    <col min="11622" max="11622" width="17" style="3" customWidth="1"/>
    <col min="11623" max="11623" width="15.44140625" style="3" customWidth="1"/>
    <col min="11624" max="11624" width="15.88671875" style="3" customWidth="1"/>
    <col min="11625" max="11625" width="13.33203125" style="3" bestFit="1" customWidth="1"/>
    <col min="11626" max="11636" width="0" style="3" hidden="1" customWidth="1"/>
    <col min="11637" max="11637" width="15.44140625" style="3" customWidth="1"/>
    <col min="11638" max="11638" width="15.88671875" style="3" customWidth="1"/>
    <col min="11639" max="11774" width="11.44140625" style="3"/>
    <col min="11775" max="11775" width="4.109375" style="3" customWidth="1"/>
    <col min="11776" max="11776" width="23.33203125" style="3" customWidth="1"/>
    <col min="11777" max="11777" width="13.44140625" style="3" customWidth="1"/>
    <col min="11778" max="11778" width="19" style="3" customWidth="1"/>
    <col min="11779" max="11779" width="10.5546875" style="3" customWidth="1"/>
    <col min="11780" max="11780" width="14.109375" style="3" bestFit="1" customWidth="1"/>
    <col min="11781" max="11781" width="16.88671875" style="3" customWidth="1"/>
    <col min="11782" max="11782" width="20.5546875" style="3" customWidth="1"/>
    <col min="11783" max="11783" width="5.109375" style="3" customWidth="1"/>
    <col min="11784" max="11784" width="5.6640625" style="3" customWidth="1"/>
    <col min="11785" max="11785" width="16.6640625" style="3" customWidth="1"/>
    <col min="11786" max="11786" width="22.109375" style="3" customWidth="1"/>
    <col min="11787" max="11787" width="34.33203125" style="3" customWidth="1"/>
    <col min="11788" max="11788" width="26.109375" style="3" customWidth="1"/>
    <col min="11789" max="11789" width="11" style="3" customWidth="1"/>
    <col min="11790" max="11790" width="24.5546875" style="3" customWidth="1"/>
    <col min="11791" max="11791" width="4.44140625" style="3" customWidth="1"/>
    <col min="11792" max="11799" width="10.6640625" style="3" customWidth="1"/>
    <col min="11800" max="11800" width="11.6640625" style="3" customWidth="1"/>
    <col min="11801" max="11801" width="10.6640625" style="3" customWidth="1"/>
    <col min="11802" max="11802" width="11.33203125" style="3" customWidth="1"/>
    <col min="11803" max="11803" width="10.6640625" style="3" customWidth="1"/>
    <col min="11804" max="11804" width="20.44140625" style="3" customWidth="1"/>
    <col min="11805" max="11805" width="11.33203125" style="3" customWidth="1"/>
    <col min="11806" max="11806" width="11" style="3" customWidth="1"/>
    <col min="11807" max="11808" width="12" style="3" customWidth="1"/>
    <col min="11809" max="11809" width="9.44140625" style="3" customWidth="1"/>
    <col min="11810" max="11810" width="10.6640625" style="3" customWidth="1"/>
    <col min="11811" max="11820" width="9" style="3" customWidth="1"/>
    <col min="11821" max="11821" width="20.44140625" style="3" customWidth="1"/>
    <col min="11822" max="11822" width="12.44140625" style="3" customWidth="1"/>
    <col min="11823" max="11823" width="13.109375" style="3" customWidth="1"/>
    <col min="11824" max="11836" width="11.44140625" style="3"/>
    <col min="11837" max="11837" width="16.109375" style="3" customWidth="1"/>
    <col min="11838" max="11838" width="16.44140625" style="3" customWidth="1"/>
    <col min="11839" max="11850" width="11.44140625" style="3"/>
    <col min="11851" max="11851" width="12.6640625" style="3" customWidth="1"/>
    <col min="11852" max="11852" width="12" style="3" customWidth="1"/>
    <col min="11853" max="11864" width="11.44140625" style="3"/>
    <col min="11865" max="11865" width="12.5546875" style="3" customWidth="1"/>
    <col min="11866" max="11866" width="14.6640625" style="3" customWidth="1"/>
    <col min="11867" max="11876" width="13.33203125" style="3" customWidth="1"/>
    <col min="11877" max="11877" width="16.33203125" style="3" customWidth="1"/>
    <col min="11878" max="11878" width="17" style="3" customWidth="1"/>
    <col min="11879" max="11879" width="15.44140625" style="3" customWidth="1"/>
    <col min="11880" max="11880" width="15.88671875" style="3" customWidth="1"/>
    <col min="11881" max="11881" width="13.33203125" style="3" bestFit="1" customWidth="1"/>
    <col min="11882" max="11892" width="0" style="3" hidden="1" customWidth="1"/>
    <col min="11893" max="11893" width="15.44140625" style="3" customWidth="1"/>
    <col min="11894" max="11894" width="15.88671875" style="3" customWidth="1"/>
    <col min="11895" max="12030" width="11.44140625" style="3"/>
    <col min="12031" max="12031" width="4.109375" style="3" customWidth="1"/>
    <col min="12032" max="12032" width="23.33203125" style="3" customWidth="1"/>
    <col min="12033" max="12033" width="13.44140625" style="3" customWidth="1"/>
    <col min="12034" max="12034" width="19" style="3" customWidth="1"/>
    <col min="12035" max="12035" width="10.5546875" style="3" customWidth="1"/>
    <col min="12036" max="12036" width="14.109375" style="3" bestFit="1" customWidth="1"/>
    <col min="12037" max="12037" width="16.88671875" style="3" customWidth="1"/>
    <col min="12038" max="12038" width="20.5546875" style="3" customWidth="1"/>
    <col min="12039" max="12039" width="5.109375" style="3" customWidth="1"/>
    <col min="12040" max="12040" width="5.6640625" style="3" customWidth="1"/>
    <col min="12041" max="12041" width="16.6640625" style="3" customWidth="1"/>
    <col min="12042" max="12042" width="22.109375" style="3" customWidth="1"/>
    <col min="12043" max="12043" width="34.33203125" style="3" customWidth="1"/>
    <col min="12044" max="12044" width="26.109375" style="3" customWidth="1"/>
    <col min="12045" max="12045" width="11" style="3" customWidth="1"/>
    <col min="12046" max="12046" width="24.5546875" style="3" customWidth="1"/>
    <col min="12047" max="12047" width="4.44140625" style="3" customWidth="1"/>
    <col min="12048" max="12055" width="10.6640625" style="3" customWidth="1"/>
    <col min="12056" max="12056" width="11.6640625" style="3" customWidth="1"/>
    <col min="12057" max="12057" width="10.6640625" style="3" customWidth="1"/>
    <col min="12058" max="12058" width="11.33203125" style="3" customWidth="1"/>
    <col min="12059" max="12059" width="10.6640625" style="3" customWidth="1"/>
    <col min="12060" max="12060" width="20.44140625" style="3" customWidth="1"/>
    <col min="12061" max="12061" width="11.33203125" style="3" customWidth="1"/>
    <col min="12062" max="12062" width="11" style="3" customWidth="1"/>
    <col min="12063" max="12064" width="12" style="3" customWidth="1"/>
    <col min="12065" max="12065" width="9.44140625" style="3" customWidth="1"/>
    <col min="12066" max="12066" width="10.6640625" style="3" customWidth="1"/>
    <col min="12067" max="12076" width="9" style="3" customWidth="1"/>
    <col min="12077" max="12077" width="20.44140625" style="3" customWidth="1"/>
    <col min="12078" max="12078" width="12.44140625" style="3" customWidth="1"/>
    <col min="12079" max="12079" width="13.109375" style="3" customWidth="1"/>
    <col min="12080" max="12092" width="11.44140625" style="3"/>
    <col min="12093" max="12093" width="16.109375" style="3" customWidth="1"/>
    <col min="12094" max="12094" width="16.44140625" style="3" customWidth="1"/>
    <col min="12095" max="12106" width="11.44140625" style="3"/>
    <col min="12107" max="12107" width="12.6640625" style="3" customWidth="1"/>
    <col min="12108" max="12108" width="12" style="3" customWidth="1"/>
    <col min="12109" max="12120" width="11.44140625" style="3"/>
    <col min="12121" max="12121" width="12.5546875" style="3" customWidth="1"/>
    <col min="12122" max="12122" width="14.6640625" style="3" customWidth="1"/>
    <col min="12123" max="12132" width="13.33203125" style="3" customWidth="1"/>
    <col min="12133" max="12133" width="16.33203125" style="3" customWidth="1"/>
    <col min="12134" max="12134" width="17" style="3" customWidth="1"/>
    <col min="12135" max="12135" width="15.44140625" style="3" customWidth="1"/>
    <col min="12136" max="12136" width="15.88671875" style="3" customWidth="1"/>
    <col min="12137" max="12137" width="13.33203125" style="3" bestFit="1" customWidth="1"/>
    <col min="12138" max="12148" width="0" style="3" hidden="1" customWidth="1"/>
    <col min="12149" max="12149" width="15.44140625" style="3" customWidth="1"/>
    <col min="12150" max="12150" width="15.88671875" style="3" customWidth="1"/>
    <col min="12151" max="12286" width="11.44140625" style="3"/>
    <col min="12287" max="12287" width="4.109375" style="3" customWidth="1"/>
    <col min="12288" max="12288" width="23.33203125" style="3" customWidth="1"/>
    <col min="12289" max="12289" width="13.44140625" style="3" customWidth="1"/>
    <col min="12290" max="12290" width="19" style="3" customWidth="1"/>
    <col min="12291" max="12291" width="10.5546875" style="3" customWidth="1"/>
    <col min="12292" max="12292" width="14.109375" style="3" bestFit="1" customWidth="1"/>
    <col min="12293" max="12293" width="16.88671875" style="3" customWidth="1"/>
    <col min="12294" max="12294" width="20.5546875" style="3" customWidth="1"/>
    <col min="12295" max="12295" width="5.109375" style="3" customWidth="1"/>
    <col min="12296" max="12296" width="5.6640625" style="3" customWidth="1"/>
    <col min="12297" max="12297" width="16.6640625" style="3" customWidth="1"/>
    <col min="12298" max="12298" width="22.109375" style="3" customWidth="1"/>
    <col min="12299" max="12299" width="34.33203125" style="3" customWidth="1"/>
    <col min="12300" max="12300" width="26.109375" style="3" customWidth="1"/>
    <col min="12301" max="12301" width="11" style="3" customWidth="1"/>
    <col min="12302" max="12302" width="24.5546875" style="3" customWidth="1"/>
    <col min="12303" max="12303" width="4.44140625" style="3" customWidth="1"/>
    <col min="12304" max="12311" width="10.6640625" style="3" customWidth="1"/>
    <col min="12312" max="12312" width="11.6640625" style="3" customWidth="1"/>
    <col min="12313" max="12313" width="10.6640625" style="3" customWidth="1"/>
    <col min="12314" max="12314" width="11.33203125" style="3" customWidth="1"/>
    <col min="12315" max="12315" width="10.6640625" style="3" customWidth="1"/>
    <col min="12316" max="12316" width="20.44140625" style="3" customWidth="1"/>
    <col min="12317" max="12317" width="11.33203125" style="3" customWidth="1"/>
    <col min="12318" max="12318" width="11" style="3" customWidth="1"/>
    <col min="12319" max="12320" width="12" style="3" customWidth="1"/>
    <col min="12321" max="12321" width="9.44140625" style="3" customWidth="1"/>
    <col min="12322" max="12322" width="10.6640625" style="3" customWidth="1"/>
    <col min="12323" max="12332" width="9" style="3" customWidth="1"/>
    <col min="12333" max="12333" width="20.44140625" style="3" customWidth="1"/>
    <col min="12334" max="12334" width="12.44140625" style="3" customWidth="1"/>
    <col min="12335" max="12335" width="13.109375" style="3" customWidth="1"/>
    <col min="12336" max="12348" width="11.44140625" style="3"/>
    <col min="12349" max="12349" width="16.109375" style="3" customWidth="1"/>
    <col min="12350" max="12350" width="16.44140625" style="3" customWidth="1"/>
    <col min="12351" max="12362" width="11.44140625" style="3"/>
    <col min="12363" max="12363" width="12.6640625" style="3" customWidth="1"/>
    <col min="12364" max="12364" width="12" style="3" customWidth="1"/>
    <col min="12365" max="12376" width="11.44140625" style="3"/>
    <col min="12377" max="12377" width="12.5546875" style="3" customWidth="1"/>
    <col min="12378" max="12378" width="14.6640625" style="3" customWidth="1"/>
    <col min="12379" max="12388" width="13.33203125" style="3" customWidth="1"/>
    <col min="12389" max="12389" width="16.33203125" style="3" customWidth="1"/>
    <col min="12390" max="12390" width="17" style="3" customWidth="1"/>
    <col min="12391" max="12391" width="15.44140625" style="3" customWidth="1"/>
    <col min="12392" max="12392" width="15.88671875" style="3" customWidth="1"/>
    <col min="12393" max="12393" width="13.33203125" style="3" bestFit="1" customWidth="1"/>
    <col min="12394" max="12404" width="0" style="3" hidden="1" customWidth="1"/>
    <col min="12405" max="12405" width="15.44140625" style="3" customWidth="1"/>
    <col min="12406" max="12406" width="15.88671875" style="3" customWidth="1"/>
    <col min="12407" max="12542" width="11.44140625" style="3"/>
    <col min="12543" max="12543" width="4.109375" style="3" customWidth="1"/>
    <col min="12544" max="12544" width="23.33203125" style="3" customWidth="1"/>
    <col min="12545" max="12545" width="13.44140625" style="3" customWidth="1"/>
    <col min="12546" max="12546" width="19" style="3" customWidth="1"/>
    <col min="12547" max="12547" width="10.5546875" style="3" customWidth="1"/>
    <col min="12548" max="12548" width="14.109375" style="3" bestFit="1" customWidth="1"/>
    <col min="12549" max="12549" width="16.88671875" style="3" customWidth="1"/>
    <col min="12550" max="12550" width="20.5546875" style="3" customWidth="1"/>
    <col min="12551" max="12551" width="5.109375" style="3" customWidth="1"/>
    <col min="12552" max="12552" width="5.6640625" style="3" customWidth="1"/>
    <col min="12553" max="12553" width="16.6640625" style="3" customWidth="1"/>
    <col min="12554" max="12554" width="22.109375" style="3" customWidth="1"/>
    <col min="12555" max="12555" width="34.33203125" style="3" customWidth="1"/>
    <col min="12556" max="12556" width="26.109375" style="3" customWidth="1"/>
    <col min="12557" max="12557" width="11" style="3" customWidth="1"/>
    <col min="12558" max="12558" width="24.5546875" style="3" customWidth="1"/>
    <col min="12559" max="12559" width="4.44140625" style="3" customWidth="1"/>
    <col min="12560" max="12567" width="10.6640625" style="3" customWidth="1"/>
    <col min="12568" max="12568" width="11.6640625" style="3" customWidth="1"/>
    <col min="12569" max="12569" width="10.6640625" style="3" customWidth="1"/>
    <col min="12570" max="12570" width="11.33203125" style="3" customWidth="1"/>
    <col min="12571" max="12571" width="10.6640625" style="3" customWidth="1"/>
    <col min="12572" max="12572" width="20.44140625" style="3" customWidth="1"/>
    <col min="12573" max="12573" width="11.33203125" style="3" customWidth="1"/>
    <col min="12574" max="12574" width="11" style="3" customWidth="1"/>
    <col min="12575" max="12576" width="12" style="3" customWidth="1"/>
    <col min="12577" max="12577" width="9.44140625" style="3" customWidth="1"/>
    <col min="12578" max="12578" width="10.6640625" style="3" customWidth="1"/>
    <col min="12579" max="12588" width="9" style="3" customWidth="1"/>
    <col min="12589" max="12589" width="20.44140625" style="3" customWidth="1"/>
    <col min="12590" max="12590" width="12.44140625" style="3" customWidth="1"/>
    <col min="12591" max="12591" width="13.109375" style="3" customWidth="1"/>
    <col min="12592" max="12604" width="11.44140625" style="3"/>
    <col min="12605" max="12605" width="16.109375" style="3" customWidth="1"/>
    <col min="12606" max="12606" width="16.44140625" style="3" customWidth="1"/>
    <col min="12607" max="12618" width="11.44140625" style="3"/>
    <col min="12619" max="12619" width="12.6640625" style="3" customWidth="1"/>
    <col min="12620" max="12620" width="12" style="3" customWidth="1"/>
    <col min="12621" max="12632" width="11.44140625" style="3"/>
    <col min="12633" max="12633" width="12.5546875" style="3" customWidth="1"/>
    <col min="12634" max="12634" width="14.6640625" style="3" customWidth="1"/>
    <col min="12635" max="12644" width="13.33203125" style="3" customWidth="1"/>
    <col min="12645" max="12645" width="16.33203125" style="3" customWidth="1"/>
    <col min="12646" max="12646" width="17" style="3" customWidth="1"/>
    <col min="12647" max="12647" width="15.44140625" style="3" customWidth="1"/>
    <col min="12648" max="12648" width="15.88671875" style="3" customWidth="1"/>
    <col min="12649" max="12649" width="13.33203125" style="3" bestFit="1" customWidth="1"/>
    <col min="12650" max="12660" width="0" style="3" hidden="1" customWidth="1"/>
    <col min="12661" max="12661" width="15.44140625" style="3" customWidth="1"/>
    <col min="12662" max="12662" width="15.88671875" style="3" customWidth="1"/>
    <col min="12663" max="12798" width="11.44140625" style="3"/>
    <col min="12799" max="12799" width="4.109375" style="3" customWidth="1"/>
    <col min="12800" max="12800" width="23.33203125" style="3" customWidth="1"/>
    <col min="12801" max="12801" width="13.44140625" style="3" customWidth="1"/>
    <col min="12802" max="12802" width="19" style="3" customWidth="1"/>
    <col min="12803" max="12803" width="10.5546875" style="3" customWidth="1"/>
    <col min="12804" max="12804" width="14.109375" style="3" bestFit="1" customWidth="1"/>
    <col min="12805" max="12805" width="16.88671875" style="3" customWidth="1"/>
    <col min="12806" max="12806" width="20.5546875" style="3" customWidth="1"/>
    <col min="12807" max="12807" width="5.109375" style="3" customWidth="1"/>
    <col min="12808" max="12808" width="5.6640625" style="3" customWidth="1"/>
    <col min="12809" max="12809" width="16.6640625" style="3" customWidth="1"/>
    <col min="12810" max="12810" width="22.109375" style="3" customWidth="1"/>
    <col min="12811" max="12811" width="34.33203125" style="3" customWidth="1"/>
    <col min="12812" max="12812" width="26.109375" style="3" customWidth="1"/>
    <col min="12813" max="12813" width="11" style="3" customWidth="1"/>
    <col min="12814" max="12814" width="24.5546875" style="3" customWidth="1"/>
    <col min="12815" max="12815" width="4.44140625" style="3" customWidth="1"/>
    <col min="12816" max="12823" width="10.6640625" style="3" customWidth="1"/>
    <col min="12824" max="12824" width="11.6640625" style="3" customWidth="1"/>
    <col min="12825" max="12825" width="10.6640625" style="3" customWidth="1"/>
    <col min="12826" max="12826" width="11.33203125" style="3" customWidth="1"/>
    <col min="12827" max="12827" width="10.6640625" style="3" customWidth="1"/>
    <col min="12828" max="12828" width="20.44140625" style="3" customWidth="1"/>
    <col min="12829" max="12829" width="11.33203125" style="3" customWidth="1"/>
    <col min="12830" max="12830" width="11" style="3" customWidth="1"/>
    <col min="12831" max="12832" width="12" style="3" customWidth="1"/>
    <col min="12833" max="12833" width="9.44140625" style="3" customWidth="1"/>
    <col min="12834" max="12834" width="10.6640625" style="3" customWidth="1"/>
    <col min="12835" max="12844" width="9" style="3" customWidth="1"/>
    <col min="12845" max="12845" width="20.44140625" style="3" customWidth="1"/>
    <col min="12846" max="12846" width="12.44140625" style="3" customWidth="1"/>
    <col min="12847" max="12847" width="13.109375" style="3" customWidth="1"/>
    <col min="12848" max="12860" width="11.44140625" style="3"/>
    <col min="12861" max="12861" width="16.109375" style="3" customWidth="1"/>
    <col min="12862" max="12862" width="16.44140625" style="3" customWidth="1"/>
    <col min="12863" max="12874" width="11.44140625" style="3"/>
    <col min="12875" max="12875" width="12.6640625" style="3" customWidth="1"/>
    <col min="12876" max="12876" width="12" style="3" customWidth="1"/>
    <col min="12877" max="12888" width="11.44140625" style="3"/>
    <col min="12889" max="12889" width="12.5546875" style="3" customWidth="1"/>
    <col min="12890" max="12890" width="14.6640625" style="3" customWidth="1"/>
    <col min="12891" max="12900" width="13.33203125" style="3" customWidth="1"/>
    <col min="12901" max="12901" width="16.33203125" style="3" customWidth="1"/>
    <col min="12902" max="12902" width="17" style="3" customWidth="1"/>
    <col min="12903" max="12903" width="15.44140625" style="3" customWidth="1"/>
    <col min="12904" max="12904" width="15.88671875" style="3" customWidth="1"/>
    <col min="12905" max="12905" width="13.33203125" style="3" bestFit="1" customWidth="1"/>
    <col min="12906" max="12916" width="0" style="3" hidden="1" customWidth="1"/>
    <col min="12917" max="12917" width="15.44140625" style="3" customWidth="1"/>
    <col min="12918" max="12918" width="15.88671875" style="3" customWidth="1"/>
    <col min="12919" max="13054" width="11.44140625" style="3"/>
    <col min="13055" max="13055" width="4.109375" style="3" customWidth="1"/>
    <col min="13056" max="13056" width="23.33203125" style="3" customWidth="1"/>
    <col min="13057" max="13057" width="13.44140625" style="3" customWidth="1"/>
    <col min="13058" max="13058" width="19" style="3" customWidth="1"/>
    <col min="13059" max="13059" width="10.5546875" style="3" customWidth="1"/>
    <col min="13060" max="13060" width="14.109375" style="3" bestFit="1" customWidth="1"/>
    <col min="13061" max="13061" width="16.88671875" style="3" customWidth="1"/>
    <col min="13062" max="13062" width="20.5546875" style="3" customWidth="1"/>
    <col min="13063" max="13063" width="5.109375" style="3" customWidth="1"/>
    <col min="13064" max="13064" width="5.6640625" style="3" customWidth="1"/>
    <col min="13065" max="13065" width="16.6640625" style="3" customWidth="1"/>
    <col min="13066" max="13066" width="22.109375" style="3" customWidth="1"/>
    <col min="13067" max="13067" width="34.33203125" style="3" customWidth="1"/>
    <col min="13068" max="13068" width="26.109375" style="3" customWidth="1"/>
    <col min="13069" max="13069" width="11" style="3" customWidth="1"/>
    <col min="13070" max="13070" width="24.5546875" style="3" customWidth="1"/>
    <col min="13071" max="13071" width="4.44140625" style="3" customWidth="1"/>
    <col min="13072" max="13079" width="10.6640625" style="3" customWidth="1"/>
    <col min="13080" max="13080" width="11.6640625" style="3" customWidth="1"/>
    <col min="13081" max="13081" width="10.6640625" style="3" customWidth="1"/>
    <col min="13082" max="13082" width="11.33203125" style="3" customWidth="1"/>
    <col min="13083" max="13083" width="10.6640625" style="3" customWidth="1"/>
    <col min="13084" max="13084" width="20.44140625" style="3" customWidth="1"/>
    <col min="13085" max="13085" width="11.33203125" style="3" customWidth="1"/>
    <col min="13086" max="13086" width="11" style="3" customWidth="1"/>
    <col min="13087" max="13088" width="12" style="3" customWidth="1"/>
    <col min="13089" max="13089" width="9.44140625" style="3" customWidth="1"/>
    <col min="13090" max="13090" width="10.6640625" style="3" customWidth="1"/>
    <col min="13091" max="13100" width="9" style="3" customWidth="1"/>
    <col min="13101" max="13101" width="20.44140625" style="3" customWidth="1"/>
    <col min="13102" max="13102" width="12.44140625" style="3" customWidth="1"/>
    <col min="13103" max="13103" width="13.109375" style="3" customWidth="1"/>
    <col min="13104" max="13116" width="11.44140625" style="3"/>
    <col min="13117" max="13117" width="16.109375" style="3" customWidth="1"/>
    <col min="13118" max="13118" width="16.44140625" style="3" customWidth="1"/>
    <col min="13119" max="13130" width="11.44140625" style="3"/>
    <col min="13131" max="13131" width="12.6640625" style="3" customWidth="1"/>
    <col min="13132" max="13132" width="12" style="3" customWidth="1"/>
    <col min="13133" max="13144" width="11.44140625" style="3"/>
    <col min="13145" max="13145" width="12.5546875" style="3" customWidth="1"/>
    <col min="13146" max="13146" width="14.6640625" style="3" customWidth="1"/>
    <col min="13147" max="13156" width="13.33203125" style="3" customWidth="1"/>
    <col min="13157" max="13157" width="16.33203125" style="3" customWidth="1"/>
    <col min="13158" max="13158" width="17" style="3" customWidth="1"/>
    <col min="13159" max="13159" width="15.44140625" style="3" customWidth="1"/>
    <col min="13160" max="13160" width="15.88671875" style="3" customWidth="1"/>
    <col min="13161" max="13161" width="13.33203125" style="3" bestFit="1" customWidth="1"/>
    <col min="13162" max="13172" width="0" style="3" hidden="1" customWidth="1"/>
    <col min="13173" max="13173" width="15.44140625" style="3" customWidth="1"/>
    <col min="13174" max="13174" width="15.88671875" style="3" customWidth="1"/>
    <col min="13175" max="13310" width="11.44140625" style="3"/>
    <col min="13311" max="13311" width="4.109375" style="3" customWidth="1"/>
    <col min="13312" max="13312" width="23.33203125" style="3" customWidth="1"/>
    <col min="13313" max="13313" width="13.44140625" style="3" customWidth="1"/>
    <col min="13314" max="13314" width="19" style="3" customWidth="1"/>
    <col min="13315" max="13315" width="10.5546875" style="3" customWidth="1"/>
    <col min="13316" max="13316" width="14.109375" style="3" bestFit="1" customWidth="1"/>
    <col min="13317" max="13317" width="16.88671875" style="3" customWidth="1"/>
    <col min="13318" max="13318" width="20.5546875" style="3" customWidth="1"/>
    <col min="13319" max="13319" width="5.109375" style="3" customWidth="1"/>
    <col min="13320" max="13320" width="5.6640625" style="3" customWidth="1"/>
    <col min="13321" max="13321" width="16.6640625" style="3" customWidth="1"/>
    <col min="13322" max="13322" width="22.109375" style="3" customWidth="1"/>
    <col min="13323" max="13323" width="34.33203125" style="3" customWidth="1"/>
    <col min="13324" max="13324" width="26.109375" style="3" customWidth="1"/>
    <col min="13325" max="13325" width="11" style="3" customWidth="1"/>
    <col min="13326" max="13326" width="24.5546875" style="3" customWidth="1"/>
    <col min="13327" max="13327" width="4.44140625" style="3" customWidth="1"/>
    <col min="13328" max="13335" width="10.6640625" style="3" customWidth="1"/>
    <col min="13336" max="13336" width="11.6640625" style="3" customWidth="1"/>
    <col min="13337" max="13337" width="10.6640625" style="3" customWidth="1"/>
    <col min="13338" max="13338" width="11.33203125" style="3" customWidth="1"/>
    <col min="13339" max="13339" width="10.6640625" style="3" customWidth="1"/>
    <col min="13340" max="13340" width="20.44140625" style="3" customWidth="1"/>
    <col min="13341" max="13341" width="11.33203125" style="3" customWidth="1"/>
    <col min="13342" max="13342" width="11" style="3" customWidth="1"/>
    <col min="13343" max="13344" width="12" style="3" customWidth="1"/>
    <col min="13345" max="13345" width="9.44140625" style="3" customWidth="1"/>
    <col min="13346" max="13346" width="10.6640625" style="3" customWidth="1"/>
    <col min="13347" max="13356" width="9" style="3" customWidth="1"/>
    <col min="13357" max="13357" width="20.44140625" style="3" customWidth="1"/>
    <col min="13358" max="13358" width="12.44140625" style="3" customWidth="1"/>
    <col min="13359" max="13359" width="13.109375" style="3" customWidth="1"/>
    <col min="13360" max="13372" width="11.44140625" style="3"/>
    <col min="13373" max="13373" width="16.109375" style="3" customWidth="1"/>
    <col min="13374" max="13374" width="16.44140625" style="3" customWidth="1"/>
    <col min="13375" max="13386" width="11.44140625" style="3"/>
    <col min="13387" max="13387" width="12.6640625" style="3" customWidth="1"/>
    <col min="13388" max="13388" width="12" style="3" customWidth="1"/>
    <col min="13389" max="13400" width="11.44140625" style="3"/>
    <col min="13401" max="13401" width="12.5546875" style="3" customWidth="1"/>
    <col min="13402" max="13402" width="14.6640625" style="3" customWidth="1"/>
    <col min="13403" max="13412" width="13.33203125" style="3" customWidth="1"/>
    <col min="13413" max="13413" width="16.33203125" style="3" customWidth="1"/>
    <col min="13414" max="13414" width="17" style="3" customWidth="1"/>
    <col min="13415" max="13415" width="15.44140625" style="3" customWidth="1"/>
    <col min="13416" max="13416" width="15.88671875" style="3" customWidth="1"/>
    <col min="13417" max="13417" width="13.33203125" style="3" bestFit="1" customWidth="1"/>
    <col min="13418" max="13428" width="0" style="3" hidden="1" customWidth="1"/>
    <col min="13429" max="13429" width="15.44140625" style="3" customWidth="1"/>
    <col min="13430" max="13430" width="15.88671875" style="3" customWidth="1"/>
    <col min="13431" max="13566" width="11.44140625" style="3"/>
    <col min="13567" max="13567" width="4.109375" style="3" customWidth="1"/>
    <col min="13568" max="13568" width="23.33203125" style="3" customWidth="1"/>
    <col min="13569" max="13569" width="13.44140625" style="3" customWidth="1"/>
    <col min="13570" max="13570" width="19" style="3" customWidth="1"/>
    <col min="13571" max="13571" width="10.5546875" style="3" customWidth="1"/>
    <col min="13572" max="13572" width="14.109375" style="3" bestFit="1" customWidth="1"/>
    <col min="13573" max="13573" width="16.88671875" style="3" customWidth="1"/>
    <col min="13574" max="13574" width="20.5546875" style="3" customWidth="1"/>
    <col min="13575" max="13575" width="5.109375" style="3" customWidth="1"/>
    <col min="13576" max="13576" width="5.6640625" style="3" customWidth="1"/>
    <col min="13577" max="13577" width="16.6640625" style="3" customWidth="1"/>
    <col min="13578" max="13578" width="22.109375" style="3" customWidth="1"/>
    <col min="13579" max="13579" width="34.33203125" style="3" customWidth="1"/>
    <col min="13580" max="13580" width="26.109375" style="3" customWidth="1"/>
    <col min="13581" max="13581" width="11" style="3" customWidth="1"/>
    <col min="13582" max="13582" width="24.5546875" style="3" customWidth="1"/>
    <col min="13583" max="13583" width="4.44140625" style="3" customWidth="1"/>
    <col min="13584" max="13591" width="10.6640625" style="3" customWidth="1"/>
    <col min="13592" max="13592" width="11.6640625" style="3" customWidth="1"/>
    <col min="13593" max="13593" width="10.6640625" style="3" customWidth="1"/>
    <col min="13594" max="13594" width="11.33203125" style="3" customWidth="1"/>
    <col min="13595" max="13595" width="10.6640625" style="3" customWidth="1"/>
    <col min="13596" max="13596" width="20.44140625" style="3" customWidth="1"/>
    <col min="13597" max="13597" width="11.33203125" style="3" customWidth="1"/>
    <col min="13598" max="13598" width="11" style="3" customWidth="1"/>
    <col min="13599" max="13600" width="12" style="3" customWidth="1"/>
    <col min="13601" max="13601" width="9.44140625" style="3" customWidth="1"/>
    <col min="13602" max="13602" width="10.6640625" style="3" customWidth="1"/>
    <col min="13603" max="13612" width="9" style="3" customWidth="1"/>
    <col min="13613" max="13613" width="20.44140625" style="3" customWidth="1"/>
    <col min="13614" max="13614" width="12.44140625" style="3" customWidth="1"/>
    <col min="13615" max="13615" width="13.109375" style="3" customWidth="1"/>
    <col min="13616" max="13628" width="11.44140625" style="3"/>
    <col min="13629" max="13629" width="16.109375" style="3" customWidth="1"/>
    <col min="13630" max="13630" width="16.44140625" style="3" customWidth="1"/>
    <col min="13631" max="13642" width="11.44140625" style="3"/>
    <col min="13643" max="13643" width="12.6640625" style="3" customWidth="1"/>
    <col min="13644" max="13644" width="12" style="3" customWidth="1"/>
    <col min="13645" max="13656" width="11.44140625" style="3"/>
    <col min="13657" max="13657" width="12.5546875" style="3" customWidth="1"/>
    <col min="13658" max="13658" width="14.6640625" style="3" customWidth="1"/>
    <col min="13659" max="13668" width="13.33203125" style="3" customWidth="1"/>
    <col min="13669" max="13669" width="16.33203125" style="3" customWidth="1"/>
    <col min="13670" max="13670" width="17" style="3" customWidth="1"/>
    <col min="13671" max="13671" width="15.44140625" style="3" customWidth="1"/>
    <col min="13672" max="13672" width="15.88671875" style="3" customWidth="1"/>
    <col min="13673" max="13673" width="13.33203125" style="3" bestFit="1" customWidth="1"/>
    <col min="13674" max="13684" width="0" style="3" hidden="1" customWidth="1"/>
    <col min="13685" max="13685" width="15.44140625" style="3" customWidth="1"/>
    <col min="13686" max="13686" width="15.88671875" style="3" customWidth="1"/>
    <col min="13687" max="13822" width="11.44140625" style="3"/>
    <col min="13823" max="13823" width="4.109375" style="3" customWidth="1"/>
    <col min="13824" max="13824" width="23.33203125" style="3" customWidth="1"/>
    <col min="13825" max="13825" width="13.44140625" style="3" customWidth="1"/>
    <col min="13826" max="13826" width="19" style="3" customWidth="1"/>
    <col min="13827" max="13827" width="10.5546875" style="3" customWidth="1"/>
    <col min="13828" max="13828" width="14.109375" style="3" bestFit="1" customWidth="1"/>
    <col min="13829" max="13829" width="16.88671875" style="3" customWidth="1"/>
    <col min="13830" max="13830" width="20.5546875" style="3" customWidth="1"/>
    <col min="13831" max="13831" width="5.109375" style="3" customWidth="1"/>
    <col min="13832" max="13832" width="5.6640625" style="3" customWidth="1"/>
    <col min="13833" max="13833" width="16.6640625" style="3" customWidth="1"/>
    <col min="13834" max="13834" width="22.109375" style="3" customWidth="1"/>
    <col min="13835" max="13835" width="34.33203125" style="3" customWidth="1"/>
    <col min="13836" max="13836" width="26.109375" style="3" customWidth="1"/>
    <col min="13837" max="13837" width="11" style="3" customWidth="1"/>
    <col min="13838" max="13838" width="24.5546875" style="3" customWidth="1"/>
    <col min="13839" max="13839" width="4.44140625" style="3" customWidth="1"/>
    <col min="13840" max="13847" width="10.6640625" style="3" customWidth="1"/>
    <col min="13848" max="13848" width="11.6640625" style="3" customWidth="1"/>
    <col min="13849" max="13849" width="10.6640625" style="3" customWidth="1"/>
    <col min="13850" max="13850" width="11.33203125" style="3" customWidth="1"/>
    <col min="13851" max="13851" width="10.6640625" style="3" customWidth="1"/>
    <col min="13852" max="13852" width="20.44140625" style="3" customWidth="1"/>
    <col min="13853" max="13853" width="11.33203125" style="3" customWidth="1"/>
    <col min="13854" max="13854" width="11" style="3" customWidth="1"/>
    <col min="13855" max="13856" width="12" style="3" customWidth="1"/>
    <col min="13857" max="13857" width="9.44140625" style="3" customWidth="1"/>
    <col min="13858" max="13858" width="10.6640625" style="3" customWidth="1"/>
    <col min="13859" max="13868" width="9" style="3" customWidth="1"/>
    <col min="13869" max="13869" width="20.44140625" style="3" customWidth="1"/>
    <col min="13870" max="13870" width="12.44140625" style="3" customWidth="1"/>
    <col min="13871" max="13871" width="13.109375" style="3" customWidth="1"/>
    <col min="13872" max="13884" width="11.44140625" style="3"/>
    <col min="13885" max="13885" width="16.109375" style="3" customWidth="1"/>
    <col min="13886" max="13886" width="16.44140625" style="3" customWidth="1"/>
    <col min="13887" max="13898" width="11.44140625" style="3"/>
    <col min="13899" max="13899" width="12.6640625" style="3" customWidth="1"/>
    <col min="13900" max="13900" width="12" style="3" customWidth="1"/>
    <col min="13901" max="13912" width="11.44140625" style="3"/>
    <col min="13913" max="13913" width="12.5546875" style="3" customWidth="1"/>
    <col min="13914" max="13914" width="14.6640625" style="3" customWidth="1"/>
    <col min="13915" max="13924" width="13.33203125" style="3" customWidth="1"/>
    <col min="13925" max="13925" width="16.33203125" style="3" customWidth="1"/>
    <col min="13926" max="13926" width="17" style="3" customWidth="1"/>
    <col min="13927" max="13927" width="15.44140625" style="3" customWidth="1"/>
    <col min="13928" max="13928" width="15.88671875" style="3" customWidth="1"/>
    <col min="13929" max="13929" width="13.33203125" style="3" bestFit="1" customWidth="1"/>
    <col min="13930" max="13940" width="0" style="3" hidden="1" customWidth="1"/>
    <col min="13941" max="13941" width="15.44140625" style="3" customWidth="1"/>
    <col min="13942" max="13942" width="15.88671875" style="3" customWidth="1"/>
    <col min="13943" max="14078" width="11.44140625" style="3"/>
    <col min="14079" max="14079" width="4.109375" style="3" customWidth="1"/>
    <col min="14080" max="14080" width="23.33203125" style="3" customWidth="1"/>
    <col min="14081" max="14081" width="13.44140625" style="3" customWidth="1"/>
    <col min="14082" max="14082" width="19" style="3" customWidth="1"/>
    <col min="14083" max="14083" width="10.5546875" style="3" customWidth="1"/>
    <col min="14084" max="14084" width="14.109375" style="3" bestFit="1" customWidth="1"/>
    <col min="14085" max="14085" width="16.88671875" style="3" customWidth="1"/>
    <col min="14086" max="14086" width="20.5546875" style="3" customWidth="1"/>
    <col min="14087" max="14087" width="5.109375" style="3" customWidth="1"/>
    <col min="14088" max="14088" width="5.6640625" style="3" customWidth="1"/>
    <col min="14089" max="14089" width="16.6640625" style="3" customWidth="1"/>
    <col min="14090" max="14090" width="22.109375" style="3" customWidth="1"/>
    <col min="14091" max="14091" width="34.33203125" style="3" customWidth="1"/>
    <col min="14092" max="14092" width="26.109375" style="3" customWidth="1"/>
    <col min="14093" max="14093" width="11" style="3" customWidth="1"/>
    <col min="14094" max="14094" width="24.5546875" style="3" customWidth="1"/>
    <col min="14095" max="14095" width="4.44140625" style="3" customWidth="1"/>
    <col min="14096" max="14103" width="10.6640625" style="3" customWidth="1"/>
    <col min="14104" max="14104" width="11.6640625" style="3" customWidth="1"/>
    <col min="14105" max="14105" width="10.6640625" style="3" customWidth="1"/>
    <col min="14106" max="14106" width="11.33203125" style="3" customWidth="1"/>
    <col min="14107" max="14107" width="10.6640625" style="3" customWidth="1"/>
    <col min="14108" max="14108" width="20.44140625" style="3" customWidth="1"/>
    <col min="14109" max="14109" width="11.33203125" style="3" customWidth="1"/>
    <col min="14110" max="14110" width="11" style="3" customWidth="1"/>
    <col min="14111" max="14112" width="12" style="3" customWidth="1"/>
    <col min="14113" max="14113" width="9.44140625" style="3" customWidth="1"/>
    <col min="14114" max="14114" width="10.6640625" style="3" customWidth="1"/>
    <col min="14115" max="14124" width="9" style="3" customWidth="1"/>
    <col min="14125" max="14125" width="20.44140625" style="3" customWidth="1"/>
    <col min="14126" max="14126" width="12.44140625" style="3" customWidth="1"/>
    <col min="14127" max="14127" width="13.109375" style="3" customWidth="1"/>
    <col min="14128" max="14140" width="11.44140625" style="3"/>
    <col min="14141" max="14141" width="16.109375" style="3" customWidth="1"/>
    <col min="14142" max="14142" width="16.44140625" style="3" customWidth="1"/>
    <col min="14143" max="14154" width="11.44140625" style="3"/>
    <col min="14155" max="14155" width="12.6640625" style="3" customWidth="1"/>
    <col min="14156" max="14156" width="12" style="3" customWidth="1"/>
    <col min="14157" max="14168" width="11.44140625" style="3"/>
    <col min="14169" max="14169" width="12.5546875" style="3" customWidth="1"/>
    <col min="14170" max="14170" width="14.6640625" style="3" customWidth="1"/>
    <col min="14171" max="14180" width="13.33203125" style="3" customWidth="1"/>
    <col min="14181" max="14181" width="16.33203125" style="3" customWidth="1"/>
    <col min="14182" max="14182" width="17" style="3" customWidth="1"/>
    <col min="14183" max="14183" width="15.44140625" style="3" customWidth="1"/>
    <col min="14184" max="14184" width="15.88671875" style="3" customWidth="1"/>
    <col min="14185" max="14185" width="13.33203125" style="3" bestFit="1" customWidth="1"/>
    <col min="14186" max="14196" width="0" style="3" hidden="1" customWidth="1"/>
    <col min="14197" max="14197" width="15.44140625" style="3" customWidth="1"/>
    <col min="14198" max="14198" width="15.88671875" style="3" customWidth="1"/>
    <col min="14199" max="14334" width="11.44140625" style="3"/>
    <col min="14335" max="14335" width="4.109375" style="3" customWidth="1"/>
    <col min="14336" max="14336" width="23.33203125" style="3" customWidth="1"/>
    <col min="14337" max="14337" width="13.44140625" style="3" customWidth="1"/>
    <col min="14338" max="14338" width="19" style="3" customWidth="1"/>
    <col min="14339" max="14339" width="10.5546875" style="3" customWidth="1"/>
    <col min="14340" max="14340" width="14.109375" style="3" bestFit="1" customWidth="1"/>
    <col min="14341" max="14341" width="16.88671875" style="3" customWidth="1"/>
    <col min="14342" max="14342" width="20.5546875" style="3" customWidth="1"/>
    <col min="14343" max="14343" width="5.109375" style="3" customWidth="1"/>
    <col min="14344" max="14344" width="5.6640625" style="3" customWidth="1"/>
    <col min="14345" max="14345" width="16.6640625" style="3" customWidth="1"/>
    <col min="14346" max="14346" width="22.109375" style="3" customWidth="1"/>
    <col min="14347" max="14347" width="34.33203125" style="3" customWidth="1"/>
    <col min="14348" max="14348" width="26.109375" style="3" customWidth="1"/>
    <col min="14349" max="14349" width="11" style="3" customWidth="1"/>
    <col min="14350" max="14350" width="24.5546875" style="3" customWidth="1"/>
    <col min="14351" max="14351" width="4.44140625" style="3" customWidth="1"/>
    <col min="14352" max="14359" width="10.6640625" style="3" customWidth="1"/>
    <col min="14360" max="14360" width="11.6640625" style="3" customWidth="1"/>
    <col min="14361" max="14361" width="10.6640625" style="3" customWidth="1"/>
    <col min="14362" max="14362" width="11.33203125" style="3" customWidth="1"/>
    <col min="14363" max="14363" width="10.6640625" style="3" customWidth="1"/>
    <col min="14364" max="14364" width="20.44140625" style="3" customWidth="1"/>
    <col min="14365" max="14365" width="11.33203125" style="3" customWidth="1"/>
    <col min="14366" max="14366" width="11" style="3" customWidth="1"/>
    <col min="14367" max="14368" width="12" style="3" customWidth="1"/>
    <col min="14369" max="14369" width="9.44140625" style="3" customWidth="1"/>
    <col min="14370" max="14370" width="10.6640625" style="3" customWidth="1"/>
    <col min="14371" max="14380" width="9" style="3" customWidth="1"/>
    <col min="14381" max="14381" width="20.44140625" style="3" customWidth="1"/>
    <col min="14382" max="14382" width="12.44140625" style="3" customWidth="1"/>
    <col min="14383" max="14383" width="13.109375" style="3" customWidth="1"/>
    <col min="14384" max="14396" width="11.44140625" style="3"/>
    <col min="14397" max="14397" width="16.109375" style="3" customWidth="1"/>
    <col min="14398" max="14398" width="16.44140625" style="3" customWidth="1"/>
    <col min="14399" max="14410" width="11.44140625" style="3"/>
    <col min="14411" max="14411" width="12.6640625" style="3" customWidth="1"/>
    <col min="14412" max="14412" width="12" style="3" customWidth="1"/>
    <col min="14413" max="14424" width="11.44140625" style="3"/>
    <col min="14425" max="14425" width="12.5546875" style="3" customWidth="1"/>
    <col min="14426" max="14426" width="14.6640625" style="3" customWidth="1"/>
    <col min="14427" max="14436" width="13.33203125" style="3" customWidth="1"/>
    <col min="14437" max="14437" width="16.33203125" style="3" customWidth="1"/>
    <col min="14438" max="14438" width="17" style="3" customWidth="1"/>
    <col min="14439" max="14439" width="15.44140625" style="3" customWidth="1"/>
    <col min="14440" max="14440" width="15.88671875" style="3" customWidth="1"/>
    <col min="14441" max="14441" width="13.33203125" style="3" bestFit="1" customWidth="1"/>
    <col min="14442" max="14452" width="0" style="3" hidden="1" customWidth="1"/>
    <col min="14453" max="14453" width="15.44140625" style="3" customWidth="1"/>
    <col min="14454" max="14454" width="15.88671875" style="3" customWidth="1"/>
    <col min="14455" max="14590" width="11.44140625" style="3"/>
    <col min="14591" max="14591" width="4.109375" style="3" customWidth="1"/>
    <col min="14592" max="14592" width="23.33203125" style="3" customWidth="1"/>
    <col min="14593" max="14593" width="13.44140625" style="3" customWidth="1"/>
    <col min="14594" max="14594" width="19" style="3" customWidth="1"/>
    <col min="14595" max="14595" width="10.5546875" style="3" customWidth="1"/>
    <col min="14596" max="14596" width="14.109375" style="3" bestFit="1" customWidth="1"/>
    <col min="14597" max="14597" width="16.88671875" style="3" customWidth="1"/>
    <col min="14598" max="14598" width="20.5546875" style="3" customWidth="1"/>
    <col min="14599" max="14599" width="5.109375" style="3" customWidth="1"/>
    <col min="14600" max="14600" width="5.6640625" style="3" customWidth="1"/>
    <col min="14601" max="14601" width="16.6640625" style="3" customWidth="1"/>
    <col min="14602" max="14602" width="22.109375" style="3" customWidth="1"/>
    <col min="14603" max="14603" width="34.33203125" style="3" customWidth="1"/>
    <col min="14604" max="14604" width="26.109375" style="3" customWidth="1"/>
    <col min="14605" max="14605" width="11" style="3" customWidth="1"/>
    <col min="14606" max="14606" width="24.5546875" style="3" customWidth="1"/>
    <col min="14607" max="14607" width="4.44140625" style="3" customWidth="1"/>
    <col min="14608" max="14615" width="10.6640625" style="3" customWidth="1"/>
    <col min="14616" max="14616" width="11.6640625" style="3" customWidth="1"/>
    <col min="14617" max="14617" width="10.6640625" style="3" customWidth="1"/>
    <col min="14618" max="14618" width="11.33203125" style="3" customWidth="1"/>
    <col min="14619" max="14619" width="10.6640625" style="3" customWidth="1"/>
    <col min="14620" max="14620" width="20.44140625" style="3" customWidth="1"/>
    <col min="14621" max="14621" width="11.33203125" style="3" customWidth="1"/>
    <col min="14622" max="14622" width="11" style="3" customWidth="1"/>
    <col min="14623" max="14624" width="12" style="3" customWidth="1"/>
    <col min="14625" max="14625" width="9.44140625" style="3" customWidth="1"/>
    <col min="14626" max="14626" width="10.6640625" style="3" customWidth="1"/>
    <col min="14627" max="14636" width="9" style="3" customWidth="1"/>
    <col min="14637" max="14637" width="20.44140625" style="3" customWidth="1"/>
    <col min="14638" max="14638" width="12.44140625" style="3" customWidth="1"/>
    <col min="14639" max="14639" width="13.109375" style="3" customWidth="1"/>
    <col min="14640" max="14652" width="11.44140625" style="3"/>
    <col min="14653" max="14653" width="16.109375" style="3" customWidth="1"/>
    <col min="14654" max="14654" width="16.44140625" style="3" customWidth="1"/>
    <col min="14655" max="14666" width="11.44140625" style="3"/>
    <col min="14667" max="14667" width="12.6640625" style="3" customWidth="1"/>
    <col min="14668" max="14668" width="12" style="3" customWidth="1"/>
    <col min="14669" max="14680" width="11.44140625" style="3"/>
    <col min="14681" max="14681" width="12.5546875" style="3" customWidth="1"/>
    <col min="14682" max="14682" width="14.6640625" style="3" customWidth="1"/>
    <col min="14683" max="14692" width="13.33203125" style="3" customWidth="1"/>
    <col min="14693" max="14693" width="16.33203125" style="3" customWidth="1"/>
    <col min="14694" max="14694" width="17" style="3" customWidth="1"/>
    <col min="14695" max="14695" width="15.44140625" style="3" customWidth="1"/>
    <col min="14696" max="14696" width="15.88671875" style="3" customWidth="1"/>
    <col min="14697" max="14697" width="13.33203125" style="3" bestFit="1" customWidth="1"/>
    <col min="14698" max="14708" width="0" style="3" hidden="1" customWidth="1"/>
    <col min="14709" max="14709" width="15.44140625" style="3" customWidth="1"/>
    <col min="14710" max="14710" width="15.88671875" style="3" customWidth="1"/>
    <col min="14711" max="14846" width="11.44140625" style="3"/>
    <col min="14847" max="14847" width="4.109375" style="3" customWidth="1"/>
    <col min="14848" max="14848" width="23.33203125" style="3" customWidth="1"/>
    <col min="14849" max="14849" width="13.44140625" style="3" customWidth="1"/>
    <col min="14850" max="14850" width="19" style="3" customWidth="1"/>
    <col min="14851" max="14851" width="10.5546875" style="3" customWidth="1"/>
    <col min="14852" max="14852" width="14.109375" style="3" bestFit="1" customWidth="1"/>
    <col min="14853" max="14853" width="16.88671875" style="3" customWidth="1"/>
    <col min="14854" max="14854" width="20.5546875" style="3" customWidth="1"/>
    <col min="14855" max="14855" width="5.109375" style="3" customWidth="1"/>
    <col min="14856" max="14856" width="5.6640625" style="3" customWidth="1"/>
    <col min="14857" max="14857" width="16.6640625" style="3" customWidth="1"/>
    <col min="14858" max="14858" width="22.109375" style="3" customWidth="1"/>
    <col min="14859" max="14859" width="34.33203125" style="3" customWidth="1"/>
    <col min="14860" max="14860" width="26.109375" style="3" customWidth="1"/>
    <col min="14861" max="14861" width="11" style="3" customWidth="1"/>
    <col min="14862" max="14862" width="24.5546875" style="3" customWidth="1"/>
    <col min="14863" max="14863" width="4.44140625" style="3" customWidth="1"/>
    <col min="14864" max="14871" width="10.6640625" style="3" customWidth="1"/>
    <col min="14872" max="14872" width="11.6640625" style="3" customWidth="1"/>
    <col min="14873" max="14873" width="10.6640625" style="3" customWidth="1"/>
    <col min="14874" max="14874" width="11.33203125" style="3" customWidth="1"/>
    <col min="14875" max="14875" width="10.6640625" style="3" customWidth="1"/>
    <col min="14876" max="14876" width="20.44140625" style="3" customWidth="1"/>
    <col min="14877" max="14877" width="11.33203125" style="3" customWidth="1"/>
    <col min="14878" max="14878" width="11" style="3" customWidth="1"/>
    <col min="14879" max="14880" width="12" style="3" customWidth="1"/>
    <col min="14881" max="14881" width="9.44140625" style="3" customWidth="1"/>
    <col min="14882" max="14882" width="10.6640625" style="3" customWidth="1"/>
    <col min="14883" max="14892" width="9" style="3" customWidth="1"/>
    <col min="14893" max="14893" width="20.44140625" style="3" customWidth="1"/>
    <col min="14894" max="14894" width="12.44140625" style="3" customWidth="1"/>
    <col min="14895" max="14895" width="13.109375" style="3" customWidth="1"/>
    <col min="14896" max="14908" width="11.44140625" style="3"/>
    <col min="14909" max="14909" width="16.109375" style="3" customWidth="1"/>
    <col min="14910" max="14910" width="16.44140625" style="3" customWidth="1"/>
    <col min="14911" max="14922" width="11.44140625" style="3"/>
    <col min="14923" max="14923" width="12.6640625" style="3" customWidth="1"/>
    <col min="14924" max="14924" width="12" style="3" customWidth="1"/>
    <col min="14925" max="14936" width="11.44140625" style="3"/>
    <col min="14937" max="14937" width="12.5546875" style="3" customWidth="1"/>
    <col min="14938" max="14938" width="14.6640625" style="3" customWidth="1"/>
    <col min="14939" max="14948" width="13.33203125" style="3" customWidth="1"/>
    <col min="14949" max="14949" width="16.33203125" style="3" customWidth="1"/>
    <col min="14950" max="14950" width="17" style="3" customWidth="1"/>
    <col min="14951" max="14951" width="15.44140625" style="3" customWidth="1"/>
    <col min="14952" max="14952" width="15.88671875" style="3" customWidth="1"/>
    <col min="14953" max="14953" width="13.33203125" style="3" bestFit="1" customWidth="1"/>
    <col min="14954" max="14964" width="0" style="3" hidden="1" customWidth="1"/>
    <col min="14965" max="14965" width="15.44140625" style="3" customWidth="1"/>
    <col min="14966" max="14966" width="15.88671875" style="3" customWidth="1"/>
    <col min="14967" max="15102" width="11.44140625" style="3"/>
    <col min="15103" max="15103" width="4.109375" style="3" customWidth="1"/>
    <col min="15104" max="15104" width="23.33203125" style="3" customWidth="1"/>
    <col min="15105" max="15105" width="13.44140625" style="3" customWidth="1"/>
    <col min="15106" max="15106" width="19" style="3" customWidth="1"/>
    <col min="15107" max="15107" width="10.5546875" style="3" customWidth="1"/>
    <col min="15108" max="15108" width="14.109375" style="3" bestFit="1" customWidth="1"/>
    <col min="15109" max="15109" width="16.88671875" style="3" customWidth="1"/>
    <col min="15110" max="15110" width="20.5546875" style="3" customWidth="1"/>
    <col min="15111" max="15111" width="5.109375" style="3" customWidth="1"/>
    <col min="15112" max="15112" width="5.6640625" style="3" customWidth="1"/>
    <col min="15113" max="15113" width="16.6640625" style="3" customWidth="1"/>
    <col min="15114" max="15114" width="22.109375" style="3" customWidth="1"/>
    <col min="15115" max="15115" width="34.33203125" style="3" customWidth="1"/>
    <col min="15116" max="15116" width="26.109375" style="3" customWidth="1"/>
    <col min="15117" max="15117" width="11" style="3" customWidth="1"/>
    <col min="15118" max="15118" width="24.5546875" style="3" customWidth="1"/>
    <col min="15119" max="15119" width="4.44140625" style="3" customWidth="1"/>
    <col min="15120" max="15127" width="10.6640625" style="3" customWidth="1"/>
    <col min="15128" max="15128" width="11.6640625" style="3" customWidth="1"/>
    <col min="15129" max="15129" width="10.6640625" style="3" customWidth="1"/>
    <col min="15130" max="15130" width="11.33203125" style="3" customWidth="1"/>
    <col min="15131" max="15131" width="10.6640625" style="3" customWidth="1"/>
    <col min="15132" max="15132" width="20.44140625" style="3" customWidth="1"/>
    <col min="15133" max="15133" width="11.33203125" style="3" customWidth="1"/>
    <col min="15134" max="15134" width="11" style="3" customWidth="1"/>
    <col min="15135" max="15136" width="12" style="3" customWidth="1"/>
    <col min="15137" max="15137" width="9.44140625" style="3" customWidth="1"/>
    <col min="15138" max="15138" width="10.6640625" style="3" customWidth="1"/>
    <col min="15139" max="15148" width="9" style="3" customWidth="1"/>
    <col min="15149" max="15149" width="20.44140625" style="3" customWidth="1"/>
    <col min="15150" max="15150" width="12.44140625" style="3" customWidth="1"/>
    <col min="15151" max="15151" width="13.109375" style="3" customWidth="1"/>
    <col min="15152" max="15164" width="11.44140625" style="3"/>
    <col min="15165" max="15165" width="16.109375" style="3" customWidth="1"/>
    <col min="15166" max="15166" width="16.44140625" style="3" customWidth="1"/>
    <col min="15167" max="15178" width="11.44140625" style="3"/>
    <col min="15179" max="15179" width="12.6640625" style="3" customWidth="1"/>
    <col min="15180" max="15180" width="12" style="3" customWidth="1"/>
    <col min="15181" max="15192" width="11.44140625" style="3"/>
    <col min="15193" max="15193" width="12.5546875" style="3" customWidth="1"/>
    <col min="15194" max="15194" width="14.6640625" style="3" customWidth="1"/>
    <col min="15195" max="15204" width="13.33203125" style="3" customWidth="1"/>
    <col min="15205" max="15205" width="16.33203125" style="3" customWidth="1"/>
    <col min="15206" max="15206" width="17" style="3" customWidth="1"/>
    <col min="15207" max="15207" width="15.44140625" style="3" customWidth="1"/>
    <col min="15208" max="15208" width="15.88671875" style="3" customWidth="1"/>
    <col min="15209" max="15209" width="13.33203125" style="3" bestFit="1" customWidth="1"/>
    <col min="15210" max="15220" width="0" style="3" hidden="1" customWidth="1"/>
    <col min="15221" max="15221" width="15.44140625" style="3" customWidth="1"/>
    <col min="15222" max="15222" width="15.88671875" style="3" customWidth="1"/>
    <col min="15223" max="15358" width="11.44140625" style="3"/>
    <col min="15359" max="15359" width="4.109375" style="3" customWidth="1"/>
    <col min="15360" max="15360" width="23.33203125" style="3" customWidth="1"/>
    <col min="15361" max="15361" width="13.44140625" style="3" customWidth="1"/>
    <col min="15362" max="15362" width="19" style="3" customWidth="1"/>
    <col min="15363" max="15363" width="10.5546875" style="3" customWidth="1"/>
    <col min="15364" max="15364" width="14.109375" style="3" bestFit="1" customWidth="1"/>
    <col min="15365" max="15365" width="16.88671875" style="3" customWidth="1"/>
    <col min="15366" max="15366" width="20.5546875" style="3" customWidth="1"/>
    <col min="15367" max="15367" width="5.109375" style="3" customWidth="1"/>
    <col min="15368" max="15368" width="5.6640625" style="3" customWidth="1"/>
    <col min="15369" max="15369" width="16.6640625" style="3" customWidth="1"/>
    <col min="15370" max="15370" width="22.109375" style="3" customWidth="1"/>
    <col min="15371" max="15371" width="34.33203125" style="3" customWidth="1"/>
    <col min="15372" max="15372" width="26.109375" style="3" customWidth="1"/>
    <col min="15373" max="15373" width="11" style="3" customWidth="1"/>
    <col min="15374" max="15374" width="24.5546875" style="3" customWidth="1"/>
    <col min="15375" max="15375" width="4.44140625" style="3" customWidth="1"/>
    <col min="15376" max="15383" width="10.6640625" style="3" customWidth="1"/>
    <col min="15384" max="15384" width="11.6640625" style="3" customWidth="1"/>
    <col min="15385" max="15385" width="10.6640625" style="3" customWidth="1"/>
    <col min="15386" max="15386" width="11.33203125" style="3" customWidth="1"/>
    <col min="15387" max="15387" width="10.6640625" style="3" customWidth="1"/>
    <col min="15388" max="15388" width="20.44140625" style="3" customWidth="1"/>
    <col min="15389" max="15389" width="11.33203125" style="3" customWidth="1"/>
    <col min="15390" max="15390" width="11" style="3" customWidth="1"/>
    <col min="15391" max="15392" width="12" style="3" customWidth="1"/>
    <col min="15393" max="15393" width="9.44140625" style="3" customWidth="1"/>
    <col min="15394" max="15394" width="10.6640625" style="3" customWidth="1"/>
    <col min="15395" max="15404" width="9" style="3" customWidth="1"/>
    <col min="15405" max="15405" width="20.44140625" style="3" customWidth="1"/>
    <col min="15406" max="15406" width="12.44140625" style="3" customWidth="1"/>
    <col min="15407" max="15407" width="13.109375" style="3" customWidth="1"/>
    <col min="15408" max="15420" width="11.44140625" style="3"/>
    <col min="15421" max="15421" width="16.109375" style="3" customWidth="1"/>
    <col min="15422" max="15422" width="16.44140625" style="3" customWidth="1"/>
    <col min="15423" max="15434" width="11.44140625" style="3"/>
    <col min="15435" max="15435" width="12.6640625" style="3" customWidth="1"/>
    <col min="15436" max="15436" width="12" style="3" customWidth="1"/>
    <col min="15437" max="15448" width="11.44140625" style="3"/>
    <col min="15449" max="15449" width="12.5546875" style="3" customWidth="1"/>
    <col min="15450" max="15450" width="14.6640625" style="3" customWidth="1"/>
    <col min="15451" max="15460" width="13.33203125" style="3" customWidth="1"/>
    <col min="15461" max="15461" width="16.33203125" style="3" customWidth="1"/>
    <col min="15462" max="15462" width="17" style="3" customWidth="1"/>
    <col min="15463" max="15463" width="15.44140625" style="3" customWidth="1"/>
    <col min="15464" max="15464" width="15.88671875" style="3" customWidth="1"/>
    <col min="15465" max="15465" width="13.33203125" style="3" bestFit="1" customWidth="1"/>
    <col min="15466" max="15476" width="0" style="3" hidden="1" customWidth="1"/>
    <col min="15477" max="15477" width="15.44140625" style="3" customWidth="1"/>
    <col min="15478" max="15478" width="15.88671875" style="3" customWidth="1"/>
    <col min="15479" max="15614" width="11.44140625" style="3"/>
    <col min="15615" max="15615" width="4.109375" style="3" customWidth="1"/>
    <col min="15616" max="15616" width="23.33203125" style="3" customWidth="1"/>
    <col min="15617" max="15617" width="13.44140625" style="3" customWidth="1"/>
    <col min="15618" max="15618" width="19" style="3" customWidth="1"/>
    <col min="15619" max="15619" width="10.5546875" style="3" customWidth="1"/>
    <col min="15620" max="15620" width="14.109375" style="3" bestFit="1" customWidth="1"/>
    <col min="15621" max="15621" width="16.88671875" style="3" customWidth="1"/>
    <col min="15622" max="15622" width="20.5546875" style="3" customWidth="1"/>
    <col min="15623" max="15623" width="5.109375" style="3" customWidth="1"/>
    <col min="15624" max="15624" width="5.6640625" style="3" customWidth="1"/>
    <col min="15625" max="15625" width="16.6640625" style="3" customWidth="1"/>
    <col min="15626" max="15626" width="22.109375" style="3" customWidth="1"/>
    <col min="15627" max="15627" width="34.33203125" style="3" customWidth="1"/>
    <col min="15628" max="15628" width="26.109375" style="3" customWidth="1"/>
    <col min="15629" max="15629" width="11" style="3" customWidth="1"/>
    <col min="15630" max="15630" width="24.5546875" style="3" customWidth="1"/>
    <col min="15631" max="15631" width="4.44140625" style="3" customWidth="1"/>
    <col min="15632" max="15639" width="10.6640625" style="3" customWidth="1"/>
    <col min="15640" max="15640" width="11.6640625" style="3" customWidth="1"/>
    <col min="15641" max="15641" width="10.6640625" style="3" customWidth="1"/>
    <col min="15642" max="15642" width="11.33203125" style="3" customWidth="1"/>
    <col min="15643" max="15643" width="10.6640625" style="3" customWidth="1"/>
    <col min="15644" max="15644" width="20.44140625" style="3" customWidth="1"/>
    <col min="15645" max="15645" width="11.33203125" style="3" customWidth="1"/>
    <col min="15646" max="15646" width="11" style="3" customWidth="1"/>
    <col min="15647" max="15648" width="12" style="3" customWidth="1"/>
    <col min="15649" max="15649" width="9.44140625" style="3" customWidth="1"/>
    <col min="15650" max="15650" width="10.6640625" style="3" customWidth="1"/>
    <col min="15651" max="15660" width="9" style="3" customWidth="1"/>
    <col min="15661" max="15661" width="20.44140625" style="3" customWidth="1"/>
    <col min="15662" max="15662" width="12.44140625" style="3" customWidth="1"/>
    <col min="15663" max="15663" width="13.109375" style="3" customWidth="1"/>
    <col min="15664" max="15676" width="11.44140625" style="3"/>
    <col min="15677" max="15677" width="16.109375" style="3" customWidth="1"/>
    <col min="15678" max="15678" width="16.44140625" style="3" customWidth="1"/>
    <col min="15679" max="15690" width="11.44140625" style="3"/>
    <col min="15691" max="15691" width="12.6640625" style="3" customWidth="1"/>
    <col min="15692" max="15692" width="12" style="3" customWidth="1"/>
    <col min="15693" max="15704" width="11.44140625" style="3"/>
    <col min="15705" max="15705" width="12.5546875" style="3" customWidth="1"/>
    <col min="15706" max="15706" width="14.6640625" style="3" customWidth="1"/>
    <col min="15707" max="15716" width="13.33203125" style="3" customWidth="1"/>
    <col min="15717" max="15717" width="16.33203125" style="3" customWidth="1"/>
    <col min="15718" max="15718" width="17" style="3" customWidth="1"/>
    <col min="15719" max="15719" width="15.44140625" style="3" customWidth="1"/>
    <col min="15720" max="15720" width="15.88671875" style="3" customWidth="1"/>
    <col min="15721" max="15721" width="13.33203125" style="3" bestFit="1" customWidth="1"/>
    <col min="15722" max="15732" width="0" style="3" hidden="1" customWidth="1"/>
    <col min="15733" max="15733" width="15.44140625" style="3" customWidth="1"/>
    <col min="15734" max="15734" width="15.88671875" style="3" customWidth="1"/>
    <col min="15735" max="15870" width="11.44140625" style="3"/>
    <col min="15871" max="15871" width="4.109375" style="3" customWidth="1"/>
    <col min="15872" max="15872" width="23.33203125" style="3" customWidth="1"/>
    <col min="15873" max="15873" width="13.44140625" style="3" customWidth="1"/>
    <col min="15874" max="15874" width="19" style="3" customWidth="1"/>
    <col min="15875" max="15875" width="10.5546875" style="3" customWidth="1"/>
    <col min="15876" max="15876" width="14.109375" style="3" bestFit="1" customWidth="1"/>
    <col min="15877" max="15877" width="16.88671875" style="3" customWidth="1"/>
    <col min="15878" max="15878" width="20.5546875" style="3" customWidth="1"/>
    <col min="15879" max="15879" width="5.109375" style="3" customWidth="1"/>
    <col min="15880" max="15880" width="5.6640625" style="3" customWidth="1"/>
    <col min="15881" max="15881" width="16.6640625" style="3" customWidth="1"/>
    <col min="15882" max="15882" width="22.109375" style="3" customWidth="1"/>
    <col min="15883" max="15883" width="34.33203125" style="3" customWidth="1"/>
    <col min="15884" max="15884" width="26.109375" style="3" customWidth="1"/>
    <col min="15885" max="15885" width="11" style="3" customWidth="1"/>
    <col min="15886" max="15886" width="24.5546875" style="3" customWidth="1"/>
    <col min="15887" max="15887" width="4.44140625" style="3" customWidth="1"/>
    <col min="15888" max="15895" width="10.6640625" style="3" customWidth="1"/>
    <col min="15896" max="15896" width="11.6640625" style="3" customWidth="1"/>
    <col min="15897" max="15897" width="10.6640625" style="3" customWidth="1"/>
    <col min="15898" max="15898" width="11.33203125" style="3" customWidth="1"/>
    <col min="15899" max="15899" width="10.6640625" style="3" customWidth="1"/>
    <col min="15900" max="15900" width="20.44140625" style="3" customWidth="1"/>
    <col min="15901" max="15901" width="11.33203125" style="3" customWidth="1"/>
    <col min="15902" max="15902" width="11" style="3" customWidth="1"/>
    <col min="15903" max="15904" width="12" style="3" customWidth="1"/>
    <col min="15905" max="15905" width="9.44140625" style="3" customWidth="1"/>
    <col min="15906" max="15906" width="10.6640625" style="3" customWidth="1"/>
    <col min="15907" max="15916" width="9" style="3" customWidth="1"/>
    <col min="15917" max="15917" width="20.44140625" style="3" customWidth="1"/>
    <col min="15918" max="15918" width="12.44140625" style="3" customWidth="1"/>
    <col min="15919" max="15919" width="13.109375" style="3" customWidth="1"/>
    <col min="15920" max="15932" width="11.44140625" style="3"/>
    <col min="15933" max="15933" width="16.109375" style="3" customWidth="1"/>
    <col min="15934" max="15934" width="16.44140625" style="3" customWidth="1"/>
    <col min="15935" max="15946" width="11.44140625" style="3"/>
    <col min="15947" max="15947" width="12.6640625" style="3" customWidth="1"/>
    <col min="15948" max="15948" width="12" style="3" customWidth="1"/>
    <col min="15949" max="15960" width="11.44140625" style="3"/>
    <col min="15961" max="15961" width="12.5546875" style="3" customWidth="1"/>
    <col min="15962" max="15962" width="14.6640625" style="3" customWidth="1"/>
    <col min="15963" max="15972" width="13.33203125" style="3" customWidth="1"/>
    <col min="15973" max="15973" width="16.33203125" style="3" customWidth="1"/>
    <col min="15974" max="15974" width="17" style="3" customWidth="1"/>
    <col min="15975" max="15975" width="15.44140625" style="3" customWidth="1"/>
    <col min="15976" max="15976" width="15.88671875" style="3" customWidth="1"/>
    <col min="15977" max="15977" width="13.33203125" style="3" bestFit="1" customWidth="1"/>
    <col min="15978" max="15988" width="0" style="3" hidden="1" customWidth="1"/>
    <col min="15989" max="15989" width="15.44140625" style="3" customWidth="1"/>
    <col min="15990" max="15990" width="15.88671875" style="3" customWidth="1"/>
    <col min="15991" max="16126" width="11.44140625" style="3"/>
    <col min="16127" max="16127" width="4.109375" style="3" customWidth="1"/>
    <col min="16128" max="16128" width="23.33203125" style="3" customWidth="1"/>
    <col min="16129" max="16129" width="13.44140625" style="3" customWidth="1"/>
    <col min="16130" max="16130" width="19" style="3" customWidth="1"/>
    <col min="16131" max="16131" width="10.5546875" style="3" customWidth="1"/>
    <col min="16132" max="16132" width="14.109375" style="3" bestFit="1" customWidth="1"/>
    <col min="16133" max="16133" width="16.88671875" style="3" customWidth="1"/>
    <col min="16134" max="16134" width="20.5546875" style="3" customWidth="1"/>
    <col min="16135" max="16135" width="5.109375" style="3" customWidth="1"/>
    <col min="16136" max="16136" width="5.6640625" style="3" customWidth="1"/>
    <col min="16137" max="16137" width="16.6640625" style="3" customWidth="1"/>
    <col min="16138" max="16138" width="22.109375" style="3" customWidth="1"/>
    <col min="16139" max="16139" width="34.33203125" style="3" customWidth="1"/>
    <col min="16140" max="16140" width="26.109375" style="3" customWidth="1"/>
    <col min="16141" max="16141" width="11" style="3" customWidth="1"/>
    <col min="16142" max="16142" width="24.5546875" style="3" customWidth="1"/>
    <col min="16143" max="16143" width="4.44140625" style="3" customWidth="1"/>
    <col min="16144" max="16151" width="10.6640625" style="3" customWidth="1"/>
    <col min="16152" max="16152" width="11.6640625" style="3" customWidth="1"/>
    <col min="16153" max="16153" width="10.6640625" style="3" customWidth="1"/>
    <col min="16154" max="16154" width="11.33203125" style="3" customWidth="1"/>
    <col min="16155" max="16155" width="10.6640625" style="3" customWidth="1"/>
    <col min="16156" max="16156" width="20.44140625" style="3" customWidth="1"/>
    <col min="16157" max="16157" width="11.33203125" style="3" customWidth="1"/>
    <col min="16158" max="16158" width="11" style="3" customWidth="1"/>
    <col min="16159" max="16160" width="12" style="3" customWidth="1"/>
    <col min="16161" max="16161" width="9.44140625" style="3" customWidth="1"/>
    <col min="16162" max="16162" width="10.6640625" style="3" customWidth="1"/>
    <col min="16163" max="16172" width="9" style="3" customWidth="1"/>
    <col min="16173" max="16173" width="20.44140625" style="3" customWidth="1"/>
    <col min="16174" max="16174" width="12.44140625" style="3" customWidth="1"/>
    <col min="16175" max="16175" width="13.109375" style="3" customWidth="1"/>
    <col min="16176" max="16188" width="11.44140625" style="3"/>
    <col min="16189" max="16189" width="16.109375" style="3" customWidth="1"/>
    <col min="16190" max="16190" width="16.44140625" style="3" customWidth="1"/>
    <col min="16191" max="16202" width="11.44140625" style="3"/>
    <col min="16203" max="16203" width="12.6640625" style="3" customWidth="1"/>
    <col min="16204" max="16204" width="12" style="3" customWidth="1"/>
    <col min="16205" max="16216" width="11.44140625" style="3"/>
    <col min="16217" max="16217" width="12.5546875" style="3" customWidth="1"/>
    <col min="16218" max="16218" width="14.6640625" style="3" customWidth="1"/>
    <col min="16219" max="16228" width="13.33203125" style="3" customWidth="1"/>
    <col min="16229" max="16229" width="16.33203125" style="3" customWidth="1"/>
    <col min="16230" max="16230" width="17" style="3" customWidth="1"/>
    <col min="16231" max="16231" width="15.44140625" style="3" customWidth="1"/>
    <col min="16232" max="16232" width="15.88671875" style="3" customWidth="1"/>
    <col min="16233" max="16233" width="13.33203125" style="3" bestFit="1" customWidth="1"/>
    <col min="16234" max="16244" width="0" style="3" hidden="1" customWidth="1"/>
    <col min="16245" max="16245" width="15.44140625" style="3" customWidth="1"/>
    <col min="16246" max="16246" width="15.88671875" style="3" customWidth="1"/>
    <col min="16247" max="16384" width="11.44140625" style="3"/>
  </cols>
  <sheetData>
    <row r="1" spans="1:118" ht="18" x14ac:dyDescent="0.35">
      <c r="B1" s="245" t="s">
        <v>84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"/>
    </row>
    <row r="2" spans="1:118" ht="17.25" customHeight="1" x14ac:dyDescent="0.35">
      <c r="B2" s="246" t="s">
        <v>85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4"/>
    </row>
    <row r="3" spans="1:118" x14ac:dyDescent="0.3">
      <c r="A3" s="1">
        <v>1524</v>
      </c>
      <c r="B3" s="5" t="s">
        <v>15</v>
      </c>
      <c r="CN3" s="21"/>
      <c r="DB3" s="21"/>
    </row>
    <row r="4" spans="1:118" ht="15" thickBot="1" x14ac:dyDescent="0.35">
      <c r="BS4"/>
      <c r="BT4"/>
      <c r="CN4" s="21"/>
      <c r="DB4" s="21"/>
    </row>
    <row r="5" spans="1:118" ht="13.5" customHeight="1" thickBot="1" x14ac:dyDescent="0.35">
      <c r="B5" s="250" t="s">
        <v>11</v>
      </c>
      <c r="C5" s="252" t="s">
        <v>0</v>
      </c>
      <c r="D5" s="118"/>
      <c r="E5" s="238" t="s">
        <v>1</v>
      </c>
      <c r="F5" s="240" t="s">
        <v>2</v>
      </c>
      <c r="G5" s="234" t="s">
        <v>3</v>
      </c>
      <c r="H5" s="234" t="s">
        <v>4</v>
      </c>
      <c r="I5" s="242" t="s">
        <v>5</v>
      </c>
      <c r="J5" s="240" t="s">
        <v>6</v>
      </c>
      <c r="K5" s="241" t="s">
        <v>7</v>
      </c>
      <c r="L5" s="232" t="s">
        <v>8</v>
      </c>
      <c r="M5" s="234" t="s">
        <v>9</v>
      </c>
      <c r="O5" s="229" t="s">
        <v>13</v>
      </c>
      <c r="P5" s="229" t="s">
        <v>14</v>
      </c>
      <c r="Q5" s="229">
        <v>43831</v>
      </c>
      <c r="R5" s="229">
        <v>43862</v>
      </c>
      <c r="S5" s="229">
        <v>43891</v>
      </c>
      <c r="T5" s="229">
        <v>43922</v>
      </c>
      <c r="U5" s="229">
        <v>43952</v>
      </c>
      <c r="V5" s="229">
        <v>43983</v>
      </c>
      <c r="W5" s="229">
        <v>44013</v>
      </c>
      <c r="X5" s="229">
        <v>44044</v>
      </c>
      <c r="Y5" s="229">
        <v>44075</v>
      </c>
      <c r="Z5" s="229">
        <v>44105</v>
      </c>
      <c r="AA5" s="229">
        <v>44136</v>
      </c>
      <c r="AB5" s="229">
        <v>44166</v>
      </c>
      <c r="AC5" s="229" t="s">
        <v>13</v>
      </c>
      <c r="AD5" s="229" t="s">
        <v>14</v>
      </c>
      <c r="AE5" s="229">
        <v>44197</v>
      </c>
      <c r="AF5" s="229">
        <v>44228</v>
      </c>
      <c r="AG5" s="229">
        <v>44256</v>
      </c>
      <c r="AH5" s="229">
        <v>44287</v>
      </c>
      <c r="AI5" s="229">
        <v>44317</v>
      </c>
      <c r="AJ5" s="229">
        <v>44348</v>
      </c>
      <c r="AK5" s="229">
        <v>44378</v>
      </c>
      <c r="AL5" s="229">
        <v>44409</v>
      </c>
      <c r="AM5" s="229">
        <v>44440</v>
      </c>
      <c r="AN5" s="229">
        <v>44470</v>
      </c>
      <c r="AO5" s="229">
        <v>44501</v>
      </c>
      <c r="AP5" s="229">
        <v>44531</v>
      </c>
      <c r="AQ5" s="229" t="s">
        <v>13</v>
      </c>
      <c r="AR5" s="229" t="s">
        <v>14</v>
      </c>
      <c r="AS5" s="229">
        <v>44562</v>
      </c>
      <c r="AT5" s="229">
        <v>44593</v>
      </c>
      <c r="AU5" s="229">
        <v>44621</v>
      </c>
      <c r="AV5" s="229">
        <v>44652</v>
      </c>
      <c r="AW5" s="229">
        <v>44682</v>
      </c>
      <c r="AX5" s="229">
        <v>44713</v>
      </c>
      <c r="AY5" s="229">
        <v>44743</v>
      </c>
      <c r="AZ5" s="229">
        <v>44774</v>
      </c>
      <c r="BA5" s="229">
        <v>44805</v>
      </c>
      <c r="BB5" s="229">
        <v>44835</v>
      </c>
      <c r="BC5" s="229">
        <v>44866</v>
      </c>
      <c r="BD5" s="229">
        <v>44896</v>
      </c>
      <c r="BE5" s="229" t="s">
        <v>13</v>
      </c>
      <c r="BF5" s="229" t="s">
        <v>14</v>
      </c>
      <c r="BG5" s="229">
        <v>44562</v>
      </c>
      <c r="BH5" s="229">
        <v>44593</v>
      </c>
      <c r="BI5" s="229">
        <v>44621</v>
      </c>
      <c r="BJ5" s="229">
        <v>44652</v>
      </c>
      <c r="BK5" s="229">
        <v>44682</v>
      </c>
      <c r="BL5" s="229">
        <v>44713</v>
      </c>
      <c r="BM5" s="229">
        <v>44743</v>
      </c>
      <c r="BN5" s="229">
        <v>44774</v>
      </c>
      <c r="BO5" s="229">
        <v>44805</v>
      </c>
      <c r="BP5" s="229">
        <v>44835</v>
      </c>
      <c r="BQ5" s="229">
        <v>44866</v>
      </c>
      <c r="BR5" s="229">
        <v>44896</v>
      </c>
      <c r="BS5" s="229" t="s">
        <v>145</v>
      </c>
      <c r="BT5" s="229" t="s">
        <v>146</v>
      </c>
      <c r="BU5" s="229" t="s">
        <v>14</v>
      </c>
      <c r="CM5" s="229">
        <v>44197</v>
      </c>
      <c r="CN5" s="229">
        <v>44228</v>
      </c>
      <c r="CO5" s="229">
        <v>44256</v>
      </c>
      <c r="CP5" s="229">
        <v>44287</v>
      </c>
      <c r="CQ5" s="229">
        <v>44317</v>
      </c>
      <c r="CR5" s="229">
        <v>44348</v>
      </c>
      <c r="CS5" s="229">
        <v>44378</v>
      </c>
      <c r="CT5" s="229">
        <v>44409</v>
      </c>
      <c r="CU5" s="229">
        <v>44440</v>
      </c>
      <c r="CV5" s="229">
        <v>44470</v>
      </c>
      <c r="CW5" s="229">
        <v>44501</v>
      </c>
      <c r="CX5" s="229">
        <v>44531</v>
      </c>
      <c r="CY5" s="229"/>
      <c r="CZ5" s="229"/>
      <c r="DA5" s="229">
        <v>44197</v>
      </c>
      <c r="DB5" s="229">
        <v>44228</v>
      </c>
      <c r="DC5" s="229">
        <v>44256</v>
      </c>
      <c r="DD5" s="229">
        <v>44287</v>
      </c>
      <c r="DE5" s="229">
        <v>44317</v>
      </c>
      <c r="DF5" s="229">
        <v>44348</v>
      </c>
      <c r="DG5" s="229">
        <v>44378</v>
      </c>
      <c r="DH5" s="229">
        <v>44409</v>
      </c>
      <c r="DI5" s="229">
        <v>44440</v>
      </c>
      <c r="DJ5" s="229">
        <v>44470</v>
      </c>
      <c r="DK5" s="229">
        <v>44501</v>
      </c>
      <c r="DL5" s="229">
        <v>44531</v>
      </c>
      <c r="DM5" s="229"/>
      <c r="DN5" s="229"/>
    </row>
    <row r="6" spans="1:118" ht="27.75" customHeight="1" thickBot="1" x14ac:dyDescent="0.35">
      <c r="B6" s="251"/>
      <c r="C6" s="253"/>
      <c r="D6" s="40" t="s">
        <v>16</v>
      </c>
      <c r="E6" s="254"/>
      <c r="F6" s="240"/>
      <c r="G6" s="249"/>
      <c r="H6" s="249"/>
      <c r="I6" s="243"/>
      <c r="J6" s="240"/>
      <c r="K6" s="247"/>
      <c r="L6" s="248"/>
      <c r="M6" s="249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0"/>
      <c r="AC6" s="230"/>
      <c r="AD6" s="230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0"/>
      <c r="AR6" s="230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CM6" s="230"/>
      <c r="CN6" s="230"/>
      <c r="CO6" s="230"/>
      <c r="CP6" s="230"/>
      <c r="CQ6" s="230"/>
      <c r="CR6" s="230"/>
      <c r="CS6" s="230"/>
      <c r="CT6" s="230"/>
      <c r="CU6" s="230"/>
      <c r="CV6" s="230"/>
      <c r="CW6" s="230"/>
      <c r="CX6" s="230"/>
      <c r="CY6" s="230"/>
      <c r="CZ6" s="230"/>
      <c r="DA6" s="230"/>
      <c r="DB6" s="230"/>
      <c r="DC6" s="230"/>
      <c r="DD6" s="230"/>
      <c r="DE6" s="230"/>
      <c r="DF6" s="230"/>
      <c r="DG6" s="230"/>
      <c r="DH6" s="230"/>
      <c r="DI6" s="230"/>
      <c r="DJ6" s="230"/>
      <c r="DK6" s="230"/>
      <c r="DL6" s="230"/>
      <c r="DM6" s="230"/>
      <c r="DN6" s="230"/>
    </row>
    <row r="7" spans="1:118" ht="24" customHeight="1" thickBot="1" x14ac:dyDescent="0.35">
      <c r="B7" s="117" t="s">
        <v>17</v>
      </c>
      <c r="C7" s="122">
        <v>43715</v>
      </c>
      <c r="D7" s="119" t="s">
        <v>126</v>
      </c>
      <c r="E7" s="8"/>
      <c r="F7" s="9">
        <v>6500000</v>
      </c>
      <c r="G7" s="9">
        <v>0</v>
      </c>
      <c r="H7" s="17">
        <f>F7/10/12*3</f>
        <v>162500</v>
      </c>
      <c r="I7" s="65">
        <v>0.1</v>
      </c>
      <c r="J7" s="9">
        <v>10</v>
      </c>
      <c r="K7" s="9">
        <f>F7+G7</f>
        <v>6500000</v>
      </c>
      <c r="L7" s="9" t="s">
        <v>82</v>
      </c>
      <c r="M7" s="9" t="s">
        <v>83</v>
      </c>
      <c r="O7" s="20">
        <f>+H7</f>
        <v>162500</v>
      </c>
      <c r="P7" s="18">
        <f>K7-O7</f>
        <v>6337500</v>
      </c>
      <c r="Q7" s="22">
        <f>$F$7*$I$7/12</f>
        <v>54166.666666666664</v>
      </c>
      <c r="R7" s="22">
        <f t="shared" ref="R7:AA7" si="0">$F$7*$I$7/12</f>
        <v>54166.666666666664</v>
      </c>
      <c r="S7" s="22">
        <f t="shared" si="0"/>
        <v>54166.666666666664</v>
      </c>
      <c r="T7" s="22">
        <f t="shared" si="0"/>
        <v>54166.666666666664</v>
      </c>
      <c r="U7" s="22">
        <f t="shared" si="0"/>
        <v>54166.666666666664</v>
      </c>
      <c r="V7" s="22">
        <f t="shared" si="0"/>
        <v>54166.666666666664</v>
      </c>
      <c r="W7" s="22">
        <f t="shared" si="0"/>
        <v>54166.666666666664</v>
      </c>
      <c r="X7" s="22">
        <f t="shared" si="0"/>
        <v>54166.666666666664</v>
      </c>
      <c r="Y7" s="22">
        <f t="shared" si="0"/>
        <v>54166.666666666664</v>
      </c>
      <c r="Z7" s="22">
        <f t="shared" si="0"/>
        <v>54166.666666666664</v>
      </c>
      <c r="AA7" s="91">
        <f t="shared" si="0"/>
        <v>54166.666666666664</v>
      </c>
      <c r="AB7" s="93">
        <f>$F$7*$I$7/12+5</f>
        <v>54171.666666666664</v>
      </c>
      <c r="AC7" s="35">
        <f>SUM(Q7:AB7)+O7</f>
        <v>812505</v>
      </c>
      <c r="AD7" s="35">
        <f>K7</f>
        <v>6500000</v>
      </c>
      <c r="AE7" s="22">
        <f>$F$7*$I$7/12</f>
        <v>54166.666666666664</v>
      </c>
      <c r="AF7" s="22">
        <f>$F$7*$I$7/12</f>
        <v>54166.666666666664</v>
      </c>
      <c r="AG7" s="22">
        <f t="shared" ref="AG7:AP7" si="1">$F$7*$I$7/12</f>
        <v>54166.666666666664</v>
      </c>
      <c r="AH7" s="22">
        <f t="shared" si="1"/>
        <v>54166.666666666664</v>
      </c>
      <c r="AI7" s="22">
        <f t="shared" si="1"/>
        <v>54166.666666666664</v>
      </c>
      <c r="AJ7" s="22">
        <f t="shared" si="1"/>
        <v>54166.666666666664</v>
      </c>
      <c r="AK7" s="22">
        <f t="shared" si="1"/>
        <v>54166.666666666664</v>
      </c>
      <c r="AL7" s="22">
        <f t="shared" si="1"/>
        <v>54166.666666666664</v>
      </c>
      <c r="AM7" s="22">
        <f t="shared" si="1"/>
        <v>54166.666666666664</v>
      </c>
      <c r="AN7" s="22">
        <f t="shared" si="1"/>
        <v>54166.666666666664</v>
      </c>
      <c r="AO7" s="22">
        <f t="shared" si="1"/>
        <v>54166.666666666664</v>
      </c>
      <c r="AP7" s="22">
        <f t="shared" si="1"/>
        <v>54166.666666666664</v>
      </c>
      <c r="AQ7" s="35">
        <f>SUM(AE7:AP7)+AC7</f>
        <v>1462505</v>
      </c>
      <c r="AR7" s="35">
        <f>AD7-AQ7</f>
        <v>5037495</v>
      </c>
      <c r="AS7" s="22">
        <f>$F$7*$I$7/12</f>
        <v>54166.666666666664</v>
      </c>
      <c r="AT7" s="22">
        <f t="shared" ref="AT7:BD7" si="2">$F$7*$I$7/12</f>
        <v>54166.666666666664</v>
      </c>
      <c r="AU7" s="22">
        <f t="shared" si="2"/>
        <v>54166.666666666664</v>
      </c>
      <c r="AV7" s="22">
        <f t="shared" si="2"/>
        <v>54166.666666666664</v>
      </c>
      <c r="AW7" s="22">
        <f t="shared" si="2"/>
        <v>54166.666666666664</v>
      </c>
      <c r="AX7" s="22">
        <f t="shared" si="2"/>
        <v>54166.666666666664</v>
      </c>
      <c r="AY7" s="22">
        <f t="shared" si="2"/>
        <v>54166.666666666664</v>
      </c>
      <c r="AZ7" s="22">
        <f t="shared" si="2"/>
        <v>54166.666666666664</v>
      </c>
      <c r="BA7" s="22">
        <f t="shared" si="2"/>
        <v>54166.666666666664</v>
      </c>
      <c r="BB7" s="22">
        <f t="shared" si="2"/>
        <v>54166.666666666664</v>
      </c>
      <c r="BC7" s="22">
        <f t="shared" si="2"/>
        <v>54166.666666666664</v>
      </c>
      <c r="BD7" s="22">
        <f t="shared" si="2"/>
        <v>54166.666666666664</v>
      </c>
      <c r="BE7" s="35">
        <f>SUM(AS7:BD7)+AQ7</f>
        <v>2112505</v>
      </c>
      <c r="BF7" s="35">
        <f>AR7-BE7</f>
        <v>2924990</v>
      </c>
      <c r="BG7" s="95">
        <f>+($AD$7*$I$7)/12</f>
        <v>54166.666666666664</v>
      </c>
      <c r="BH7" s="95">
        <f t="shared" ref="BH7:BR7" si="3">+($AD$7*$I$7)/12</f>
        <v>54166.666666666664</v>
      </c>
      <c r="BI7" s="95">
        <f t="shared" si="3"/>
        <v>54166.666666666664</v>
      </c>
      <c r="BJ7" s="95">
        <f t="shared" si="3"/>
        <v>54166.666666666664</v>
      </c>
      <c r="BK7" s="95">
        <f t="shared" si="3"/>
        <v>54166.666666666664</v>
      </c>
      <c r="BL7" s="95">
        <f t="shared" si="3"/>
        <v>54166.666666666664</v>
      </c>
      <c r="BM7" s="95">
        <f t="shared" si="3"/>
        <v>54166.666666666664</v>
      </c>
      <c r="BN7" s="95">
        <f t="shared" si="3"/>
        <v>54166.666666666664</v>
      </c>
      <c r="BO7" s="95">
        <f t="shared" si="3"/>
        <v>54166.666666666664</v>
      </c>
      <c r="BP7" s="95">
        <f t="shared" si="3"/>
        <v>54166.666666666664</v>
      </c>
      <c r="BQ7" s="95">
        <f t="shared" si="3"/>
        <v>54166.666666666664</v>
      </c>
      <c r="BR7" s="108">
        <f t="shared" si="3"/>
        <v>54166.666666666664</v>
      </c>
      <c r="BS7" s="110">
        <f>SUM(BG7:BR7)</f>
        <v>650000</v>
      </c>
      <c r="BT7" s="109">
        <f>+BS7+AQ7</f>
        <v>2112505</v>
      </c>
      <c r="BU7" s="106">
        <f>+AD7-BT7</f>
        <v>4387495</v>
      </c>
      <c r="CM7" s="29"/>
      <c r="CN7" s="16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16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</row>
    <row r="8" spans="1:118" ht="24" customHeight="1" x14ac:dyDescent="0.3">
      <c r="B8" s="117" t="s">
        <v>17</v>
      </c>
      <c r="C8" s="122">
        <v>44186</v>
      </c>
      <c r="D8" s="119" t="s">
        <v>18</v>
      </c>
      <c r="E8" s="8"/>
      <c r="F8" s="9">
        <f>6870000/1.19</f>
        <v>5773109.2436974794</v>
      </c>
      <c r="G8" s="9">
        <f>6870000-F8</f>
        <v>1096890.7563025206</v>
      </c>
      <c r="H8" s="17"/>
      <c r="I8" s="65">
        <v>0.1</v>
      </c>
      <c r="J8" s="9">
        <v>10</v>
      </c>
      <c r="K8" s="9">
        <f t="shared" ref="K8:K13" si="4">F8+G8+H8</f>
        <v>6870000</v>
      </c>
      <c r="L8" s="9" t="s">
        <v>82</v>
      </c>
      <c r="M8" s="9" t="s">
        <v>83</v>
      </c>
      <c r="O8" s="20">
        <f>+H8</f>
        <v>0</v>
      </c>
      <c r="P8" s="18">
        <f>K8-O8</f>
        <v>6870000</v>
      </c>
      <c r="Q8" s="22"/>
      <c r="R8" s="22"/>
      <c r="S8" s="22"/>
      <c r="T8" s="22"/>
      <c r="U8" s="22"/>
      <c r="V8" s="22"/>
      <c r="W8" s="22"/>
      <c r="X8" s="22"/>
      <c r="Y8" s="23"/>
      <c r="Z8" s="24"/>
      <c r="AA8" s="92"/>
      <c r="AB8" s="94"/>
      <c r="AC8" s="35">
        <f>SUM(Q8:AB8)+O8</f>
        <v>0</v>
      </c>
      <c r="AD8" s="35">
        <f t="shared" ref="AD8:AD13" si="5">K8-AC8</f>
        <v>6870000</v>
      </c>
      <c r="AE8" s="22">
        <f>$K$8*$I$8/12</f>
        <v>57250</v>
      </c>
      <c r="AF8" s="22">
        <f t="shared" ref="AF8:AP8" si="6">$K$8*$I$8/12</f>
        <v>57250</v>
      </c>
      <c r="AG8" s="22">
        <f t="shared" si="6"/>
        <v>57250</v>
      </c>
      <c r="AH8" s="22">
        <f t="shared" si="6"/>
        <v>57250</v>
      </c>
      <c r="AI8" s="22">
        <f t="shared" si="6"/>
        <v>57250</v>
      </c>
      <c r="AJ8" s="22">
        <f t="shared" si="6"/>
        <v>57250</v>
      </c>
      <c r="AK8" s="22">
        <f t="shared" si="6"/>
        <v>57250</v>
      </c>
      <c r="AL8" s="22">
        <f t="shared" si="6"/>
        <v>57250</v>
      </c>
      <c r="AM8" s="22">
        <f t="shared" si="6"/>
        <v>57250</v>
      </c>
      <c r="AN8" s="22">
        <f t="shared" si="6"/>
        <v>57250</v>
      </c>
      <c r="AO8" s="22">
        <f t="shared" si="6"/>
        <v>57250</v>
      </c>
      <c r="AP8" s="22">
        <f t="shared" si="6"/>
        <v>57250</v>
      </c>
      <c r="AQ8" s="35">
        <f>SUM(AE8:AP8)+AC8</f>
        <v>687000</v>
      </c>
      <c r="AR8" s="35">
        <f>AD8-AQ8</f>
        <v>6183000</v>
      </c>
      <c r="AS8" s="22">
        <f>$K$8*$I$8/12</f>
        <v>57250</v>
      </c>
      <c r="AT8" s="22">
        <f t="shared" ref="AT8:BD8" si="7">$K$8*$I$8/12</f>
        <v>57250</v>
      </c>
      <c r="AU8" s="22">
        <f t="shared" si="7"/>
        <v>57250</v>
      </c>
      <c r="AV8" s="22">
        <f t="shared" si="7"/>
        <v>57250</v>
      </c>
      <c r="AW8" s="22">
        <f t="shared" si="7"/>
        <v>57250</v>
      </c>
      <c r="AX8" s="22">
        <f t="shared" si="7"/>
        <v>57250</v>
      </c>
      <c r="AY8" s="22">
        <f t="shared" si="7"/>
        <v>57250</v>
      </c>
      <c r="AZ8" s="22">
        <f t="shared" si="7"/>
        <v>57250</v>
      </c>
      <c r="BA8" s="22">
        <f t="shared" si="7"/>
        <v>57250</v>
      </c>
      <c r="BB8" s="22">
        <f t="shared" si="7"/>
        <v>57250</v>
      </c>
      <c r="BC8" s="22">
        <f t="shared" si="7"/>
        <v>57250</v>
      </c>
      <c r="BD8" s="22">
        <f t="shared" si="7"/>
        <v>57250</v>
      </c>
      <c r="BE8" s="35">
        <f>SUM(AS8:BD8)+AQ8</f>
        <v>1374000</v>
      </c>
      <c r="BF8" s="35">
        <f>AR8-BE8</f>
        <v>4809000</v>
      </c>
      <c r="BG8" s="95">
        <f>+($AD$8*$I$8)/12</f>
        <v>57250</v>
      </c>
      <c r="BH8" s="95">
        <f t="shared" ref="BH8:BR8" si="8">+($AD$8*$I$8)/12</f>
        <v>57250</v>
      </c>
      <c r="BI8" s="95">
        <f t="shared" si="8"/>
        <v>57250</v>
      </c>
      <c r="BJ8" s="95">
        <f t="shared" si="8"/>
        <v>57250</v>
      </c>
      <c r="BK8" s="95">
        <f t="shared" si="8"/>
        <v>57250</v>
      </c>
      <c r="BL8" s="95">
        <f t="shared" si="8"/>
        <v>57250</v>
      </c>
      <c r="BM8" s="95">
        <f t="shared" si="8"/>
        <v>57250</v>
      </c>
      <c r="BN8" s="95">
        <f t="shared" si="8"/>
        <v>57250</v>
      </c>
      <c r="BO8" s="95">
        <f t="shared" si="8"/>
        <v>57250</v>
      </c>
      <c r="BP8" s="95">
        <f t="shared" si="8"/>
        <v>57250</v>
      </c>
      <c r="BQ8" s="95">
        <f t="shared" si="8"/>
        <v>57250</v>
      </c>
      <c r="BR8" s="108">
        <f t="shared" si="8"/>
        <v>57250</v>
      </c>
      <c r="BS8" s="111">
        <f t="shared" ref="BS8:BS10" si="9">SUM(BG8:BR8)</f>
        <v>687000</v>
      </c>
      <c r="BT8" s="109">
        <f t="shared" ref="BT8:BT10" si="10">+BS8+AQ8</f>
        <v>1374000</v>
      </c>
      <c r="BU8" s="107">
        <f t="shared" ref="BU8:BU10" si="11">+AD8-BT8</f>
        <v>5496000</v>
      </c>
      <c r="CM8" s="29"/>
      <c r="CN8" s="16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16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</row>
    <row r="9" spans="1:118" ht="14.4" x14ac:dyDescent="0.3">
      <c r="B9" s="83" t="s">
        <v>138</v>
      </c>
      <c r="C9" s="123">
        <v>44449</v>
      </c>
      <c r="D9" s="120" t="s">
        <v>73</v>
      </c>
      <c r="E9" s="8"/>
      <c r="F9" s="9">
        <v>1319243</v>
      </c>
      <c r="G9" s="80">
        <v>250657</v>
      </c>
      <c r="H9" s="17"/>
      <c r="I9" s="65">
        <v>1</v>
      </c>
      <c r="J9" s="9">
        <v>1</v>
      </c>
      <c r="K9" s="9">
        <f t="shared" si="4"/>
        <v>1569900</v>
      </c>
      <c r="L9" s="7" t="s">
        <v>86</v>
      </c>
      <c r="M9" s="9" t="s">
        <v>87</v>
      </c>
      <c r="O9" s="20">
        <f>+H9</f>
        <v>0</v>
      </c>
      <c r="P9" s="18">
        <v>0</v>
      </c>
      <c r="Q9" s="22"/>
      <c r="R9" s="22"/>
      <c r="S9" s="22"/>
      <c r="T9" s="22"/>
      <c r="U9" s="22"/>
      <c r="V9" s="22"/>
      <c r="W9" s="22"/>
      <c r="X9" s="22"/>
      <c r="Y9" s="23"/>
      <c r="Z9" s="24"/>
      <c r="AA9" s="92"/>
      <c r="AB9" s="94"/>
      <c r="AC9" s="35">
        <f>SUM(Q9:AB9)+O9</f>
        <v>0</v>
      </c>
      <c r="AD9" s="35">
        <f t="shared" si="5"/>
        <v>1569900</v>
      </c>
      <c r="AE9" s="22"/>
      <c r="AF9" s="22"/>
      <c r="AG9" s="22"/>
      <c r="AH9" s="22"/>
      <c r="AI9" s="22"/>
      <c r="AJ9" s="22"/>
      <c r="AK9" s="22"/>
      <c r="AL9" s="22"/>
      <c r="AM9" s="22">
        <f>AD9</f>
        <v>1569900</v>
      </c>
      <c r="AN9" s="22"/>
      <c r="AO9" s="22"/>
      <c r="AP9" s="22"/>
      <c r="AQ9" s="35">
        <f>SUM(AE9:AP9)+AC9</f>
        <v>1569900</v>
      </c>
      <c r="AR9" s="35">
        <f t="shared" ref="AR9:AR10" si="12">AD9-AQ9</f>
        <v>0</v>
      </c>
      <c r="AS9" s="22"/>
      <c r="AT9" s="22"/>
      <c r="AU9" s="22"/>
      <c r="AV9" s="22"/>
      <c r="AW9" s="22"/>
      <c r="AX9" s="22"/>
      <c r="AY9" s="22"/>
      <c r="AZ9" s="22"/>
      <c r="BA9" s="22">
        <f>AR9</f>
        <v>0</v>
      </c>
      <c r="BB9" s="22"/>
      <c r="BC9" s="22"/>
      <c r="BD9" s="22"/>
      <c r="BE9" s="35"/>
      <c r="BF9" s="3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108"/>
      <c r="BS9" s="111">
        <f t="shared" si="9"/>
        <v>0</v>
      </c>
      <c r="BT9" s="109">
        <f t="shared" si="10"/>
        <v>1569900</v>
      </c>
      <c r="BU9" s="107">
        <f t="shared" si="11"/>
        <v>0</v>
      </c>
      <c r="CM9" s="29"/>
      <c r="CN9" s="16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16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</row>
    <row r="10" spans="1:118" ht="32.25" customHeight="1" x14ac:dyDescent="0.3">
      <c r="B10" s="83" t="s">
        <v>144</v>
      </c>
      <c r="C10" s="123">
        <v>44580</v>
      </c>
      <c r="D10" s="119" t="s">
        <v>18</v>
      </c>
      <c r="E10" s="85"/>
      <c r="F10" s="9">
        <v>1336134</v>
      </c>
      <c r="G10" s="80">
        <v>253865</v>
      </c>
      <c r="H10" s="17"/>
      <c r="I10" s="65">
        <v>1</v>
      </c>
      <c r="J10" s="9">
        <v>1</v>
      </c>
      <c r="K10" s="9">
        <f t="shared" si="4"/>
        <v>1589999</v>
      </c>
      <c r="L10" s="7"/>
      <c r="M10" s="9"/>
      <c r="O10" s="20"/>
      <c r="P10" s="19"/>
      <c r="Q10" s="86"/>
      <c r="R10" s="86"/>
      <c r="S10" s="86"/>
      <c r="T10" s="86"/>
      <c r="U10" s="86"/>
      <c r="V10" s="86"/>
      <c r="W10" s="86"/>
      <c r="X10" s="86"/>
      <c r="Y10" s="87"/>
      <c r="Z10" s="88"/>
      <c r="AA10" s="88"/>
      <c r="AB10" s="94"/>
      <c r="AC10" s="35"/>
      <c r="AD10" s="35">
        <f t="shared" si="5"/>
        <v>1589999</v>
      </c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35">
        <f>SUM(AE10:AP10)+AC10</f>
        <v>0</v>
      </c>
      <c r="AR10" s="35">
        <f t="shared" si="12"/>
        <v>1589999</v>
      </c>
      <c r="AS10" s="22">
        <f>+AR10</f>
        <v>1589999</v>
      </c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35">
        <f>SUM(AS10:BD10)+AQ10</f>
        <v>1589999</v>
      </c>
      <c r="BF10" s="35">
        <f>AR10-BE10</f>
        <v>0</v>
      </c>
      <c r="BG10" s="95">
        <f>+($AD$10*$I$10)/12</f>
        <v>132499.91666666666</v>
      </c>
      <c r="BH10" s="95">
        <f t="shared" ref="BH10:BR10" si="13">+($AD$10*$I$10)/12</f>
        <v>132499.91666666666</v>
      </c>
      <c r="BI10" s="95">
        <f t="shared" si="13"/>
        <v>132499.91666666666</v>
      </c>
      <c r="BJ10" s="95">
        <f t="shared" si="13"/>
        <v>132499.91666666666</v>
      </c>
      <c r="BK10" s="95">
        <f t="shared" si="13"/>
        <v>132499.91666666666</v>
      </c>
      <c r="BL10" s="95">
        <f t="shared" si="13"/>
        <v>132499.91666666666</v>
      </c>
      <c r="BM10" s="95">
        <f t="shared" si="13"/>
        <v>132499.91666666666</v>
      </c>
      <c r="BN10" s="95">
        <f t="shared" si="13"/>
        <v>132499.91666666666</v>
      </c>
      <c r="BO10" s="95">
        <f t="shared" si="13"/>
        <v>132499.91666666666</v>
      </c>
      <c r="BP10" s="95">
        <f t="shared" si="13"/>
        <v>132499.91666666666</v>
      </c>
      <c r="BQ10" s="95">
        <f t="shared" si="13"/>
        <v>132499.91666666666</v>
      </c>
      <c r="BR10" s="108">
        <f t="shared" si="13"/>
        <v>132499.91666666666</v>
      </c>
      <c r="BS10" s="111">
        <f t="shared" si="9"/>
        <v>1589999.0000000002</v>
      </c>
      <c r="BT10" s="109">
        <f t="shared" si="10"/>
        <v>1589999.0000000002</v>
      </c>
      <c r="BU10" s="107">
        <f t="shared" si="11"/>
        <v>0</v>
      </c>
      <c r="CM10" s="29"/>
      <c r="CN10" s="16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DA10" s="29"/>
      <c r="DB10" s="16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</row>
    <row r="11" spans="1:118" ht="32.25" customHeight="1" x14ac:dyDescent="0.3">
      <c r="B11" s="83" t="s">
        <v>147</v>
      </c>
      <c r="C11" s="123">
        <v>44657</v>
      </c>
      <c r="D11" s="84"/>
      <c r="E11" s="85"/>
      <c r="F11" s="9">
        <v>1252101</v>
      </c>
      <c r="G11" s="80">
        <v>237899</v>
      </c>
      <c r="H11" s="17"/>
      <c r="I11" s="65">
        <v>1</v>
      </c>
      <c r="J11" s="9">
        <v>1</v>
      </c>
      <c r="K11" s="9">
        <f t="shared" si="4"/>
        <v>1490000</v>
      </c>
      <c r="L11" s="7"/>
      <c r="M11" s="9"/>
      <c r="O11" s="20"/>
      <c r="P11" s="19"/>
      <c r="Q11" s="86"/>
      <c r="R11" s="86"/>
      <c r="S11" s="86"/>
      <c r="T11" s="86"/>
      <c r="U11" s="86"/>
      <c r="V11" s="86"/>
      <c r="W11" s="86"/>
      <c r="X11" s="86"/>
      <c r="Y11" s="87"/>
      <c r="Z11" s="88"/>
      <c r="AA11" s="88"/>
      <c r="AB11" s="94"/>
      <c r="AC11" s="35"/>
      <c r="AD11" s="35">
        <f t="shared" si="5"/>
        <v>1490000</v>
      </c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35"/>
      <c r="AR11" s="35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35"/>
      <c r="BF11" s="98"/>
      <c r="BG11" s="29"/>
      <c r="BH11" s="128"/>
      <c r="BI11" s="29"/>
      <c r="BJ11" s="95">
        <v>0</v>
      </c>
      <c r="BK11" s="95">
        <f t="shared" ref="BK11:BR11" si="14">+($AD$11*$I$11)/12</f>
        <v>124166.66666666667</v>
      </c>
      <c r="BL11" s="95">
        <f t="shared" si="14"/>
        <v>124166.66666666667</v>
      </c>
      <c r="BM11" s="95">
        <f t="shared" si="14"/>
        <v>124166.66666666667</v>
      </c>
      <c r="BN11" s="95">
        <f t="shared" si="14"/>
        <v>124166.66666666667</v>
      </c>
      <c r="BO11" s="95">
        <f t="shared" si="14"/>
        <v>124166.66666666667</v>
      </c>
      <c r="BP11" s="95">
        <f t="shared" si="14"/>
        <v>124166.66666666667</v>
      </c>
      <c r="BQ11" s="95">
        <f t="shared" si="14"/>
        <v>124166.66666666667</v>
      </c>
      <c r="BR11" s="95">
        <f t="shared" si="14"/>
        <v>124166.66666666667</v>
      </c>
      <c r="BS11" s="129">
        <f>SUM(BG11:BR11)</f>
        <v>993333.33333333326</v>
      </c>
      <c r="BT11" s="130">
        <f t="shared" ref="BT11" si="15">+BS11+AQ11</f>
        <v>993333.33333333326</v>
      </c>
      <c r="BU11" s="131">
        <f t="shared" ref="BU11" si="16">+AD11-BT11</f>
        <v>496666.66666666674</v>
      </c>
      <c r="CM11" s="29"/>
      <c r="CN11" s="16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DA11" s="29"/>
      <c r="DB11" s="16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</row>
    <row r="12" spans="1:118" ht="32.25" customHeight="1" x14ac:dyDescent="0.3">
      <c r="B12" s="83" t="s">
        <v>153</v>
      </c>
      <c r="C12" s="123">
        <v>44785</v>
      </c>
      <c r="D12" s="84"/>
      <c r="E12" s="85"/>
      <c r="F12" s="116">
        <v>1007760</v>
      </c>
      <c r="G12" s="80"/>
      <c r="H12" s="116"/>
      <c r="I12" s="65">
        <v>1</v>
      </c>
      <c r="J12" s="9"/>
      <c r="K12" s="9">
        <f t="shared" si="4"/>
        <v>1007760</v>
      </c>
      <c r="L12" s="7"/>
      <c r="M12" s="9"/>
      <c r="O12" s="20"/>
      <c r="P12" s="19"/>
      <c r="Q12" s="86"/>
      <c r="R12" s="86"/>
      <c r="S12" s="86"/>
      <c r="T12" s="86"/>
      <c r="U12" s="86"/>
      <c r="V12" s="86"/>
      <c r="W12" s="86"/>
      <c r="X12" s="86"/>
      <c r="Y12" s="87"/>
      <c r="Z12" s="88"/>
      <c r="AA12" s="88"/>
      <c r="AB12" s="94"/>
      <c r="AC12" s="35"/>
      <c r="AD12" s="35">
        <f t="shared" si="5"/>
        <v>1007760</v>
      </c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35"/>
      <c r="AR12" s="35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35"/>
      <c r="BF12" s="98"/>
      <c r="BG12" s="29"/>
      <c r="BH12" s="128"/>
      <c r="BI12" s="29"/>
      <c r="BJ12" s="95"/>
      <c r="BK12" s="29"/>
      <c r="BL12" s="29"/>
      <c r="BM12" s="29"/>
      <c r="BN12" s="29"/>
      <c r="BO12" s="132">
        <f>+F12</f>
        <v>1007760</v>
      </c>
      <c r="BP12" s="29"/>
      <c r="BQ12" s="29"/>
      <c r="BR12" s="29"/>
      <c r="BS12" s="129">
        <f>SUM(BG12:BR12)</f>
        <v>1007760</v>
      </c>
      <c r="BT12" s="130">
        <f t="shared" ref="BT12:BT13" si="17">+BS12+AQ12</f>
        <v>1007760</v>
      </c>
      <c r="BU12" s="131">
        <f>+AD12-BT12</f>
        <v>0</v>
      </c>
      <c r="CM12" s="29"/>
      <c r="CN12" s="16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DA12" s="29"/>
      <c r="DB12" s="16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</row>
    <row r="13" spans="1:118" ht="14.4" x14ac:dyDescent="0.3">
      <c r="B13" s="83" t="s">
        <v>164</v>
      </c>
      <c r="C13" s="123">
        <v>44889</v>
      </c>
      <c r="D13" s="84" t="s">
        <v>165</v>
      </c>
      <c r="F13" s="116">
        <v>474790</v>
      </c>
      <c r="G13" s="80">
        <v>90210</v>
      </c>
      <c r="H13" s="116"/>
      <c r="I13" s="65">
        <v>1</v>
      </c>
      <c r="J13" s="9"/>
      <c r="K13" s="9">
        <f t="shared" si="4"/>
        <v>565000</v>
      </c>
      <c r="L13" s="7"/>
      <c r="M13" s="9"/>
      <c r="O13" s="20"/>
      <c r="P13" s="19"/>
      <c r="Q13" s="86"/>
      <c r="R13" s="86"/>
      <c r="S13" s="86"/>
      <c r="T13" s="86"/>
      <c r="U13" s="86"/>
      <c r="V13" s="86"/>
      <c r="W13" s="86"/>
      <c r="X13" s="86"/>
      <c r="Y13" s="87"/>
      <c r="Z13" s="88"/>
      <c r="AA13" s="88"/>
      <c r="AB13" s="94"/>
      <c r="AC13" s="35"/>
      <c r="AD13" s="35">
        <f t="shared" si="5"/>
        <v>565000</v>
      </c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35"/>
      <c r="AR13" s="35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35"/>
      <c r="BF13" s="98"/>
      <c r="BG13" s="29"/>
      <c r="BH13" s="128"/>
      <c r="BI13" s="29"/>
      <c r="BJ13" s="95"/>
      <c r="BK13" s="29"/>
      <c r="BL13" s="29"/>
      <c r="BM13" s="29"/>
      <c r="BN13" s="29"/>
      <c r="BO13" s="132"/>
      <c r="BP13" s="29"/>
      <c r="BQ13" s="29"/>
      <c r="BR13" s="29">
        <v>565000</v>
      </c>
      <c r="BS13" s="129">
        <f>SUM(BG13:BR13)</f>
        <v>565000</v>
      </c>
      <c r="BT13" s="130">
        <f t="shared" si="17"/>
        <v>565000</v>
      </c>
      <c r="BU13" s="131">
        <f>+AD13-BT13</f>
        <v>0</v>
      </c>
      <c r="CM13" s="29"/>
      <c r="CN13" s="16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DA13" s="29"/>
      <c r="DB13" s="16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</row>
    <row r="14" spans="1:118" ht="72" x14ac:dyDescent="0.3">
      <c r="B14" s="83" t="s">
        <v>17</v>
      </c>
      <c r="C14" s="123">
        <v>44895</v>
      </c>
      <c r="D14" s="84" t="s">
        <v>18</v>
      </c>
      <c r="E14" s="85" t="s">
        <v>166</v>
      </c>
      <c r="F14" s="116">
        <v>705882.35</v>
      </c>
      <c r="G14" s="80">
        <f>+F14*19%</f>
        <v>134117.6465</v>
      </c>
      <c r="H14" s="116"/>
      <c r="I14" s="65">
        <v>1</v>
      </c>
      <c r="J14" s="9"/>
      <c r="K14" s="9"/>
      <c r="L14" s="7"/>
      <c r="M14" s="9"/>
      <c r="O14" s="20"/>
      <c r="P14" s="19"/>
      <c r="Q14" s="86"/>
      <c r="R14" s="86"/>
      <c r="S14" s="86"/>
      <c r="T14" s="86"/>
      <c r="U14" s="86"/>
      <c r="V14" s="86"/>
      <c r="W14" s="86"/>
      <c r="X14" s="86"/>
      <c r="Y14" s="87"/>
      <c r="Z14" s="88"/>
      <c r="AA14" s="88"/>
      <c r="AB14" s="94"/>
      <c r="AC14" s="35"/>
      <c r="AD14" s="35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35"/>
      <c r="AR14" s="35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35"/>
      <c r="BF14" s="98"/>
      <c r="BG14" s="29"/>
      <c r="BH14" s="128"/>
      <c r="BI14" s="29"/>
      <c r="BJ14" s="95"/>
      <c r="BK14" s="29"/>
      <c r="BL14" s="29"/>
      <c r="BM14" s="29"/>
      <c r="BN14" s="29"/>
      <c r="BO14" s="132"/>
      <c r="BP14" s="29"/>
      <c r="BQ14" s="29"/>
      <c r="BR14" s="29"/>
      <c r="BS14" s="129"/>
      <c r="BT14" s="130"/>
      <c r="BU14" s="131"/>
      <c r="CM14" s="29"/>
      <c r="CN14" s="16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DA14" s="29"/>
      <c r="DB14" s="16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</row>
    <row r="15" spans="1:118" ht="72" x14ac:dyDescent="0.3">
      <c r="B15" s="83" t="s">
        <v>144</v>
      </c>
      <c r="C15" s="123">
        <v>44895</v>
      </c>
      <c r="D15" s="84" t="s">
        <v>18</v>
      </c>
      <c r="E15" s="85" t="s">
        <v>166</v>
      </c>
      <c r="F15" s="116">
        <v>1655462.19</v>
      </c>
      <c r="G15" s="80">
        <f>+F15*19%</f>
        <v>314537.8161</v>
      </c>
      <c r="H15" s="116"/>
      <c r="I15" s="65">
        <v>1</v>
      </c>
      <c r="J15" s="9"/>
      <c r="K15" s="9"/>
      <c r="L15" s="7"/>
      <c r="M15" s="9"/>
      <c r="O15" s="20"/>
      <c r="P15" s="19"/>
      <c r="Q15" s="86"/>
      <c r="R15" s="86"/>
      <c r="S15" s="86"/>
      <c r="T15" s="86"/>
      <c r="U15" s="86"/>
      <c r="V15" s="86"/>
      <c r="W15" s="86"/>
      <c r="X15" s="86"/>
      <c r="Y15" s="87"/>
      <c r="Z15" s="88"/>
      <c r="AA15" s="88"/>
      <c r="AB15" s="94"/>
      <c r="AC15" s="35"/>
      <c r="AD15" s="35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35"/>
      <c r="AR15" s="35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35"/>
      <c r="BF15" s="98"/>
      <c r="BG15" s="29"/>
      <c r="BH15" s="128"/>
      <c r="BI15" s="29"/>
      <c r="BJ15" s="95"/>
      <c r="BK15" s="29"/>
      <c r="BL15" s="29"/>
      <c r="BM15" s="29"/>
      <c r="BN15" s="29"/>
      <c r="BO15" s="132"/>
      <c r="BP15" s="29"/>
      <c r="BQ15" s="29"/>
      <c r="BR15" s="29"/>
      <c r="BS15" s="129"/>
      <c r="BT15" s="130"/>
      <c r="BU15" s="131"/>
      <c r="CM15" s="29"/>
      <c r="CN15" s="16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DA15" s="29"/>
      <c r="DB15" s="16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</row>
    <row r="16" spans="1:118" ht="72" x14ac:dyDescent="0.3">
      <c r="B16" s="83" t="s">
        <v>167</v>
      </c>
      <c r="C16" s="141">
        <v>44895</v>
      </c>
      <c r="D16" s="84" t="s">
        <v>18</v>
      </c>
      <c r="E16" s="85" t="s">
        <v>166</v>
      </c>
      <c r="F16" s="116">
        <v>336134.46</v>
      </c>
      <c r="G16" s="80">
        <f>+F16*19%</f>
        <v>63865.547400000003</v>
      </c>
      <c r="H16" s="116"/>
      <c r="I16" s="65">
        <v>1</v>
      </c>
      <c r="J16" s="9"/>
      <c r="K16" s="9"/>
      <c r="L16" s="7"/>
      <c r="M16" s="9"/>
      <c r="O16" s="20"/>
      <c r="P16" s="19"/>
      <c r="Q16" s="86"/>
      <c r="R16" s="86"/>
      <c r="S16" s="86"/>
      <c r="T16" s="86"/>
      <c r="U16" s="86"/>
      <c r="V16" s="86"/>
      <c r="W16" s="86"/>
      <c r="X16" s="86"/>
      <c r="Y16" s="87"/>
      <c r="Z16" s="88"/>
      <c r="AA16" s="88"/>
      <c r="AB16" s="94"/>
      <c r="AC16" s="35"/>
      <c r="AD16" s="35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35"/>
      <c r="AR16" s="35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35"/>
      <c r="BF16" s="98"/>
      <c r="BG16" s="29"/>
      <c r="BH16" s="128"/>
      <c r="BI16" s="29"/>
      <c r="BJ16" s="95"/>
      <c r="BK16" s="29"/>
      <c r="BL16" s="29"/>
      <c r="BM16" s="29"/>
      <c r="BN16" s="29"/>
      <c r="BO16" s="132"/>
      <c r="BP16" s="29"/>
      <c r="BQ16" s="29"/>
      <c r="BR16" s="29"/>
      <c r="BS16" s="129"/>
      <c r="BT16" s="130"/>
      <c r="BU16" s="131"/>
      <c r="CM16" s="29"/>
      <c r="CN16" s="16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DA16" s="29"/>
      <c r="DB16" s="16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</row>
    <row r="17" spans="1:117" ht="72" x14ac:dyDescent="0.3">
      <c r="B17" s="83" t="s">
        <v>167</v>
      </c>
      <c r="C17" s="141">
        <v>44895</v>
      </c>
      <c r="D17" s="84" t="s">
        <v>18</v>
      </c>
      <c r="E17" s="85" t="s">
        <v>166</v>
      </c>
      <c r="F17" s="116">
        <v>336134.46</v>
      </c>
      <c r="G17" s="80">
        <f t="shared" ref="G17" si="18">+F17*19%</f>
        <v>63865.547400000003</v>
      </c>
      <c r="H17" s="116"/>
      <c r="I17" s="65">
        <v>1</v>
      </c>
      <c r="J17" s="9"/>
      <c r="K17" s="9"/>
      <c r="L17" s="7"/>
      <c r="M17" s="9"/>
      <c r="O17" s="20"/>
      <c r="P17" s="19"/>
      <c r="Q17" s="86"/>
      <c r="R17" s="86"/>
      <c r="S17" s="86"/>
      <c r="T17" s="86"/>
      <c r="U17" s="86"/>
      <c r="V17" s="86"/>
      <c r="W17" s="86"/>
      <c r="X17" s="86"/>
      <c r="Y17" s="87"/>
      <c r="Z17" s="88"/>
      <c r="AA17" s="88"/>
      <c r="AB17" s="94"/>
      <c r="AC17" s="35"/>
      <c r="AD17" s="35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35"/>
      <c r="AR17" s="35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35"/>
      <c r="BF17" s="98"/>
      <c r="BG17" s="29"/>
      <c r="BH17" s="128"/>
      <c r="BI17" s="29"/>
      <c r="BJ17" s="95"/>
      <c r="BK17" s="29"/>
      <c r="BL17" s="29"/>
      <c r="BM17" s="29"/>
      <c r="BN17" s="29"/>
      <c r="BO17" s="132"/>
      <c r="BP17" s="29"/>
      <c r="BQ17" s="29"/>
      <c r="BR17" s="29"/>
      <c r="BS17" s="129"/>
      <c r="BT17" s="130"/>
      <c r="BU17" s="131"/>
      <c r="CM17" s="29"/>
      <c r="CN17" s="16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DA17" s="29"/>
      <c r="DB17" s="16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</row>
    <row r="18" spans="1:117" ht="14.4" x14ac:dyDescent="0.3">
      <c r="B18" s="83"/>
      <c r="C18" s="141"/>
      <c r="D18" s="84"/>
      <c r="E18" s="85"/>
      <c r="F18" s="116"/>
      <c r="G18" s="80"/>
      <c r="H18" s="116"/>
      <c r="I18" s="65"/>
      <c r="J18" s="9"/>
      <c r="K18" s="9"/>
      <c r="L18" s="7"/>
      <c r="M18" s="9"/>
      <c r="O18" s="20"/>
      <c r="P18" s="19"/>
      <c r="Q18" s="86"/>
      <c r="R18" s="86"/>
      <c r="S18" s="86"/>
      <c r="T18" s="86"/>
      <c r="U18" s="86"/>
      <c r="V18" s="86"/>
      <c r="W18" s="86"/>
      <c r="X18" s="86"/>
      <c r="Y18" s="87"/>
      <c r="Z18" s="88"/>
      <c r="AA18" s="88"/>
      <c r="AB18" s="94"/>
      <c r="AC18" s="35"/>
      <c r="AD18" s="35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35"/>
      <c r="AR18" s="35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35"/>
      <c r="BF18" s="98"/>
      <c r="BG18" s="29"/>
      <c r="BH18" s="128"/>
      <c r="BI18" s="29"/>
      <c r="BJ18" s="95"/>
      <c r="BK18" s="29"/>
      <c r="BL18" s="29"/>
      <c r="BM18" s="29"/>
      <c r="BN18" s="29"/>
      <c r="BO18" s="132"/>
      <c r="BP18" s="29"/>
      <c r="BQ18" s="29"/>
      <c r="BR18" s="29"/>
      <c r="BS18" s="129"/>
      <c r="BT18" s="130"/>
      <c r="BU18" s="131"/>
      <c r="CM18" s="29"/>
      <c r="CN18" s="16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DA18" s="29"/>
      <c r="DB18" s="16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</row>
    <row r="19" spans="1:117" ht="15" thickBot="1" x14ac:dyDescent="0.35">
      <c r="B19" s="83"/>
      <c r="C19" s="124"/>
      <c r="D19" s="84"/>
      <c r="E19" s="85"/>
      <c r="F19" s="116"/>
      <c r="G19" s="80"/>
      <c r="H19" s="116"/>
      <c r="I19" s="65"/>
      <c r="J19" s="9"/>
      <c r="K19" s="9"/>
      <c r="L19" s="7"/>
      <c r="M19" s="9"/>
      <c r="O19" s="20"/>
      <c r="P19" s="19"/>
      <c r="Q19" s="86"/>
      <c r="R19" s="86"/>
      <c r="S19" s="86"/>
      <c r="T19" s="86"/>
      <c r="U19" s="86"/>
      <c r="V19" s="86"/>
      <c r="W19" s="86"/>
      <c r="X19" s="86"/>
      <c r="Y19" s="87"/>
      <c r="Z19" s="88"/>
      <c r="AA19" s="88"/>
      <c r="AB19" s="94"/>
      <c r="AC19" s="35"/>
      <c r="AD19" s="35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35"/>
      <c r="AR19" s="35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35"/>
      <c r="BF19" s="98"/>
      <c r="BG19" s="29"/>
      <c r="BH19" s="128"/>
      <c r="BI19" s="29"/>
      <c r="BJ19" s="95"/>
      <c r="BK19" s="29"/>
      <c r="BL19" s="29"/>
      <c r="BM19" s="29"/>
      <c r="BN19" s="29"/>
      <c r="BO19" s="132"/>
      <c r="BP19" s="29"/>
      <c r="BQ19" s="29"/>
      <c r="BR19" s="29"/>
      <c r="BS19" s="129"/>
      <c r="BT19" s="130"/>
      <c r="BU19" s="131"/>
      <c r="CM19" s="29"/>
      <c r="CN19" s="16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DA19" s="29"/>
      <c r="DB19" s="16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</row>
    <row r="20" spans="1:117" ht="32.25" customHeight="1" x14ac:dyDescent="0.3">
      <c r="B20" s="83" t="s">
        <v>172</v>
      </c>
      <c r="C20" s="152">
        <v>44891</v>
      </c>
      <c r="D20" s="84" t="s">
        <v>173</v>
      </c>
      <c r="E20" s="85" t="s">
        <v>174</v>
      </c>
      <c r="F20" s="116">
        <f>630168+1243613</f>
        <v>1873781</v>
      </c>
      <c r="G20" s="80">
        <v>356018</v>
      </c>
      <c r="H20" s="116"/>
      <c r="I20" s="65">
        <v>1</v>
      </c>
      <c r="J20" s="9"/>
      <c r="K20" s="9">
        <f>+G20+F20</f>
        <v>2229799</v>
      </c>
      <c r="L20" s="7"/>
      <c r="M20" s="9"/>
      <c r="O20" s="20"/>
      <c r="P20" s="19"/>
      <c r="Q20" s="86"/>
      <c r="R20" s="86"/>
      <c r="S20" s="86"/>
      <c r="T20" s="86"/>
      <c r="U20" s="86"/>
      <c r="V20" s="86"/>
      <c r="W20" s="86"/>
      <c r="X20" s="86"/>
      <c r="Y20" s="87"/>
      <c r="Z20" s="88"/>
      <c r="AA20" s="88"/>
      <c r="AB20" s="94"/>
      <c r="AC20" s="35"/>
      <c r="AD20" s="35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35"/>
      <c r="AR20" s="35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35"/>
      <c r="BF20" s="98"/>
      <c r="BH20" s="153"/>
      <c r="BJ20" s="154"/>
      <c r="BO20" s="155"/>
      <c r="BR20" s="20">
        <f>+K20</f>
        <v>2229799</v>
      </c>
      <c r="BS20" s="129">
        <f>SUM(BG20:BR20)</f>
        <v>2229799</v>
      </c>
      <c r="BT20" s="130">
        <f t="shared" ref="BT20:BT21" si="19">+BS20+AQ20</f>
        <v>2229799</v>
      </c>
      <c r="BU20" s="131">
        <f>+AD20-BT20</f>
        <v>-2229799</v>
      </c>
      <c r="CM20" s="29"/>
      <c r="CN20" s="16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DA20" s="29"/>
      <c r="DB20" s="16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</row>
    <row r="21" spans="1:117" ht="32.25" customHeight="1" x14ac:dyDescent="0.3">
      <c r="B21" s="83" t="s">
        <v>178</v>
      </c>
      <c r="C21" s="152">
        <v>44895</v>
      </c>
      <c r="D21" s="84" t="s">
        <v>179</v>
      </c>
      <c r="E21" s="85" t="s">
        <v>180</v>
      </c>
      <c r="F21" s="116">
        <v>5913361</v>
      </c>
      <c r="G21" s="80">
        <v>1123539</v>
      </c>
      <c r="H21" s="116"/>
      <c r="I21" s="65">
        <v>0.1</v>
      </c>
      <c r="J21" s="9">
        <v>10</v>
      </c>
      <c r="K21" s="9">
        <f>+G21+F21</f>
        <v>7036900</v>
      </c>
      <c r="L21" s="7"/>
      <c r="M21" s="9"/>
      <c r="O21" s="20"/>
      <c r="P21" s="19"/>
      <c r="Q21" s="86"/>
      <c r="R21" s="86"/>
      <c r="S21" s="86"/>
      <c r="T21" s="86"/>
      <c r="U21" s="86"/>
      <c r="V21" s="86"/>
      <c r="W21" s="86"/>
      <c r="X21" s="86"/>
      <c r="Y21" s="87"/>
      <c r="Z21" s="88"/>
      <c r="AA21" s="88"/>
      <c r="AB21" s="94"/>
      <c r="AC21" s="35"/>
      <c r="AD21" s="35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35"/>
      <c r="AR21" s="35">
        <v>0</v>
      </c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35"/>
      <c r="BF21" s="98"/>
      <c r="BH21" s="153"/>
      <c r="BJ21" s="154"/>
      <c r="BO21" s="155"/>
      <c r="BQ21" s="3">
        <v>0</v>
      </c>
      <c r="BR21" s="108">
        <f>+(K21*I21)/12</f>
        <v>58640.833333333336</v>
      </c>
      <c r="BS21" s="129">
        <f>SUM(BG21:BR21)</f>
        <v>58640.833333333336</v>
      </c>
      <c r="BT21" s="130">
        <f t="shared" si="19"/>
        <v>58640.833333333336</v>
      </c>
      <c r="BU21" s="131">
        <f>+AD21-BT21</f>
        <v>-58640.833333333336</v>
      </c>
      <c r="CM21" s="29"/>
      <c r="CN21" s="16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DA21" s="29"/>
      <c r="DB21" s="16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</row>
    <row r="22" spans="1:117" ht="19.5" customHeight="1" thickBot="1" x14ac:dyDescent="0.35">
      <c r="B22" s="14" t="s">
        <v>10</v>
      </c>
      <c r="C22" s="121"/>
      <c r="D22" s="15"/>
      <c r="E22" s="15"/>
      <c r="F22" s="11">
        <f>SUM(F7:F16)</f>
        <v>20360616.243697483</v>
      </c>
      <c r="G22" s="30">
        <f>SUM(G7:G13)</f>
        <v>1929521.7563025206</v>
      </c>
      <c r="H22" s="25">
        <f>SUM(H7:H9)</f>
        <v>162500</v>
      </c>
      <c r="I22" s="32"/>
      <c r="J22" s="30"/>
      <c r="K22" s="11">
        <f>SUM(K7:K13)</f>
        <v>19592659</v>
      </c>
      <c r="L22" s="30"/>
      <c r="M22" s="11"/>
      <c r="O22" s="33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29"/>
      <c r="AC22" s="29"/>
      <c r="AD22" s="35">
        <f>SUM(AD7:AD13)</f>
        <v>19592659</v>
      </c>
      <c r="AE22" s="31">
        <f t="shared" ref="AE22:AQ22" si="20">SUM(AE7:AE9)</f>
        <v>111416.66666666666</v>
      </c>
      <c r="AF22" s="31">
        <f t="shared" si="20"/>
        <v>111416.66666666666</v>
      </c>
      <c r="AG22" s="31">
        <f t="shared" si="20"/>
        <v>111416.66666666666</v>
      </c>
      <c r="AH22" s="31">
        <f t="shared" si="20"/>
        <v>111416.66666666666</v>
      </c>
      <c r="AI22" s="31">
        <f t="shared" si="20"/>
        <v>111416.66666666666</v>
      </c>
      <c r="AJ22" s="31">
        <f t="shared" si="20"/>
        <v>111416.66666666666</v>
      </c>
      <c r="AK22" s="31">
        <f t="shared" si="20"/>
        <v>111416.66666666666</v>
      </c>
      <c r="AL22" s="31">
        <f t="shared" si="20"/>
        <v>111416.66666666666</v>
      </c>
      <c r="AM22" s="31">
        <f>SUM(AM7:AM9)</f>
        <v>1681316.6666666667</v>
      </c>
      <c r="AN22" s="31">
        <f t="shared" si="20"/>
        <v>111416.66666666666</v>
      </c>
      <c r="AO22" s="31">
        <f t="shared" si="20"/>
        <v>111416.66666666666</v>
      </c>
      <c r="AP22" s="31">
        <f t="shared" si="20"/>
        <v>111416.66666666666</v>
      </c>
      <c r="AQ22" s="31">
        <f t="shared" si="20"/>
        <v>3719405</v>
      </c>
      <c r="AR22" s="31">
        <f>SUM(AR7:AR10)</f>
        <v>12810494</v>
      </c>
      <c r="AS22" s="31">
        <f t="shared" ref="AS22:BF22" si="21">SUM(AS7:AS9)</f>
        <v>111416.66666666666</v>
      </c>
      <c r="AT22" s="31">
        <f t="shared" si="21"/>
        <v>111416.66666666666</v>
      </c>
      <c r="AU22" s="31">
        <f t="shared" si="21"/>
        <v>111416.66666666666</v>
      </c>
      <c r="AV22" s="31">
        <f t="shared" si="21"/>
        <v>111416.66666666666</v>
      </c>
      <c r="AW22" s="31">
        <f t="shared" si="21"/>
        <v>111416.66666666666</v>
      </c>
      <c r="AX22" s="31">
        <f t="shared" si="21"/>
        <v>111416.66666666666</v>
      </c>
      <c r="AY22" s="31">
        <f t="shared" si="21"/>
        <v>111416.66666666666</v>
      </c>
      <c r="AZ22" s="31">
        <f t="shared" si="21"/>
        <v>111416.66666666666</v>
      </c>
      <c r="BA22" s="31">
        <f t="shared" si="21"/>
        <v>111416.66666666666</v>
      </c>
      <c r="BB22" s="31">
        <f t="shared" si="21"/>
        <v>111416.66666666666</v>
      </c>
      <c r="BC22" s="31">
        <f t="shared" si="21"/>
        <v>111416.66666666666</v>
      </c>
      <c r="BD22" s="31">
        <f t="shared" si="21"/>
        <v>111416.66666666666</v>
      </c>
      <c r="BE22" s="31">
        <f t="shared" si="21"/>
        <v>3486505</v>
      </c>
      <c r="BF22" s="96">
        <f t="shared" si="21"/>
        <v>7733990</v>
      </c>
      <c r="BG22" s="125">
        <f>SUM(BG7:BG11)</f>
        <v>243916.58333333331</v>
      </c>
      <c r="BH22" s="126">
        <f t="shared" ref="BH22:BN22" si="22">SUM(BH7:BH11)</f>
        <v>243916.58333333331</v>
      </c>
      <c r="BI22" s="126">
        <f t="shared" si="22"/>
        <v>243916.58333333331</v>
      </c>
      <c r="BJ22" s="126">
        <f t="shared" si="22"/>
        <v>243916.58333333331</v>
      </c>
      <c r="BK22" s="126">
        <f t="shared" si="22"/>
        <v>368083.25</v>
      </c>
      <c r="BL22" s="126">
        <f t="shared" si="22"/>
        <v>368083.25</v>
      </c>
      <c r="BM22" s="126">
        <f t="shared" si="22"/>
        <v>368083.25</v>
      </c>
      <c r="BN22" s="126">
        <f t="shared" si="22"/>
        <v>368083.25</v>
      </c>
      <c r="BO22" s="126">
        <f>SUM(BO7:BO12)</f>
        <v>1375843.25</v>
      </c>
      <c r="BP22" s="126">
        <f t="shared" ref="BP22" si="23">SUM(BP7:BP12)</f>
        <v>368083.25</v>
      </c>
      <c r="BQ22" s="126">
        <f>SUM(BQ7:BQ12)</f>
        <v>368083.25</v>
      </c>
      <c r="BR22" s="126">
        <f>SUM(BR7:BR12)</f>
        <v>368083.25</v>
      </c>
      <c r="BS22" s="126">
        <f t="shared" ref="BS22" si="24">SUM(BS7:BS11)</f>
        <v>3920332.333333333</v>
      </c>
      <c r="BT22" s="126">
        <f t="shared" ref="BT22" si="25">SUM(BT7:BT11)</f>
        <v>7639737.333333333</v>
      </c>
      <c r="BU22" s="127">
        <f t="shared" ref="BU22" si="26">SUM(BU7:BU11)</f>
        <v>10380161.666666666</v>
      </c>
      <c r="CM22" s="11">
        <f t="shared" ref="CM22:CY22" si="27">SUM(CM7:CM9)</f>
        <v>0</v>
      </c>
      <c r="CN22" s="11">
        <f t="shared" si="27"/>
        <v>0</v>
      </c>
      <c r="CO22" s="11">
        <f t="shared" si="27"/>
        <v>0</v>
      </c>
      <c r="CP22" s="11">
        <f t="shared" si="27"/>
        <v>0</v>
      </c>
      <c r="CQ22" s="11">
        <f t="shared" si="27"/>
        <v>0</v>
      </c>
      <c r="CR22" s="11">
        <f t="shared" si="27"/>
        <v>0</v>
      </c>
      <c r="CS22" s="11">
        <f t="shared" si="27"/>
        <v>0</v>
      </c>
      <c r="CT22" s="11">
        <f t="shared" si="27"/>
        <v>0</v>
      </c>
      <c r="CU22" s="11">
        <f t="shared" si="27"/>
        <v>0</v>
      </c>
      <c r="CV22" s="11">
        <f t="shared" si="27"/>
        <v>0</v>
      </c>
      <c r="CW22" s="11">
        <f t="shared" si="27"/>
        <v>0</v>
      </c>
      <c r="CX22" s="11">
        <f t="shared" si="27"/>
        <v>0</v>
      </c>
      <c r="CY22" s="11">
        <f t="shared" si="27"/>
        <v>0</v>
      </c>
      <c r="DA22" s="11">
        <f t="shared" ref="DA22:DM22" si="28">SUM(DA7:DA9)</f>
        <v>0</v>
      </c>
      <c r="DB22" s="11">
        <f t="shared" si="28"/>
        <v>0</v>
      </c>
      <c r="DC22" s="11">
        <f t="shared" si="28"/>
        <v>0</v>
      </c>
      <c r="DD22" s="11">
        <f t="shared" si="28"/>
        <v>0</v>
      </c>
      <c r="DE22" s="11">
        <f t="shared" si="28"/>
        <v>0</v>
      </c>
      <c r="DF22" s="11">
        <f t="shared" si="28"/>
        <v>0</v>
      </c>
      <c r="DG22" s="11">
        <f t="shared" si="28"/>
        <v>0</v>
      </c>
      <c r="DH22" s="11">
        <f t="shared" si="28"/>
        <v>0</v>
      </c>
      <c r="DI22" s="11">
        <f t="shared" si="28"/>
        <v>0</v>
      </c>
      <c r="DJ22" s="11">
        <f t="shared" si="28"/>
        <v>0</v>
      </c>
      <c r="DK22" s="11">
        <f t="shared" si="28"/>
        <v>0</v>
      </c>
      <c r="DL22" s="11">
        <f t="shared" si="28"/>
        <v>0</v>
      </c>
      <c r="DM22" s="11">
        <f t="shared" si="28"/>
        <v>0</v>
      </c>
    </row>
    <row r="23" spans="1:117" x14ac:dyDescent="0.3">
      <c r="F23" s="82">
        <f>+F22+G22</f>
        <v>22290138.000000004</v>
      </c>
      <c r="K23" s="81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P23" s="20">
        <f>SUM(AE22:AP22)</f>
        <v>2906899.9999999995</v>
      </c>
      <c r="BD23" s="20">
        <f>SUM(AS22:BD22)</f>
        <v>1337000</v>
      </c>
      <c r="BG23" s="20"/>
      <c r="CN23" s="21"/>
      <c r="DB23" s="21"/>
    </row>
    <row r="24" spans="1:117" x14ac:dyDescent="0.3">
      <c r="A24" s="1">
        <v>1528</v>
      </c>
      <c r="B24" s="5" t="s">
        <v>19</v>
      </c>
      <c r="AF24" s="20"/>
      <c r="CN24" s="21"/>
      <c r="DB24" s="21"/>
    </row>
    <row r="25" spans="1:117" ht="14.4" thickBot="1" x14ac:dyDescent="0.35">
      <c r="CN25" s="21"/>
      <c r="DB25" s="21"/>
    </row>
    <row r="26" spans="1:117" ht="13.5" customHeight="1" thickBot="1" x14ac:dyDescent="0.35">
      <c r="B26" s="236" t="s">
        <v>11</v>
      </c>
      <c r="C26" s="238" t="s">
        <v>0</v>
      </c>
      <c r="D26" s="27"/>
      <c r="E26" s="238" t="s">
        <v>1</v>
      </c>
      <c r="F26" s="240" t="s">
        <v>2</v>
      </c>
      <c r="G26" s="234" t="s">
        <v>3</v>
      </c>
      <c r="H26" s="234" t="s">
        <v>4</v>
      </c>
      <c r="I26" s="242" t="s">
        <v>5</v>
      </c>
      <c r="J26" s="240" t="s">
        <v>6</v>
      </c>
      <c r="K26" s="241" t="s">
        <v>7</v>
      </c>
      <c r="L26" s="232" t="s">
        <v>8</v>
      </c>
      <c r="M26" s="234" t="s">
        <v>9</v>
      </c>
      <c r="O26" s="229" t="s">
        <v>13</v>
      </c>
      <c r="P26" s="229" t="s">
        <v>14</v>
      </c>
      <c r="Q26" s="229">
        <v>43831</v>
      </c>
      <c r="R26" s="229">
        <v>43862</v>
      </c>
      <c r="S26" s="229">
        <v>43891</v>
      </c>
      <c r="T26" s="229">
        <v>43922</v>
      </c>
      <c r="U26" s="229">
        <v>43952</v>
      </c>
      <c r="V26" s="229">
        <v>43983</v>
      </c>
      <c r="W26" s="229">
        <v>44013</v>
      </c>
      <c r="X26" s="229">
        <v>44044</v>
      </c>
      <c r="Y26" s="229">
        <v>44075</v>
      </c>
      <c r="Z26" s="229">
        <v>44105</v>
      </c>
      <c r="AA26" s="229">
        <v>44136</v>
      </c>
      <c r="AB26" s="229">
        <v>44166</v>
      </c>
      <c r="AC26" s="229" t="s">
        <v>13</v>
      </c>
      <c r="AD26" s="229" t="s">
        <v>14</v>
      </c>
      <c r="AE26" s="229">
        <v>44197</v>
      </c>
      <c r="AF26" s="229">
        <v>44228</v>
      </c>
      <c r="AG26" s="229">
        <v>44256</v>
      </c>
      <c r="AH26" s="229">
        <v>44287</v>
      </c>
      <c r="AI26" s="229">
        <v>44317</v>
      </c>
      <c r="AJ26" s="229">
        <v>44348</v>
      </c>
      <c r="AK26" s="229">
        <v>44378</v>
      </c>
      <c r="AL26" s="229">
        <v>44409</v>
      </c>
      <c r="AM26" s="229">
        <v>44440</v>
      </c>
      <c r="AN26" s="229">
        <v>44470</v>
      </c>
      <c r="AO26" s="229">
        <v>44501</v>
      </c>
      <c r="AP26" s="229">
        <v>44531</v>
      </c>
      <c r="AQ26" s="229" t="s">
        <v>13</v>
      </c>
      <c r="AR26" s="229" t="s">
        <v>14</v>
      </c>
      <c r="AS26" s="229">
        <v>44197</v>
      </c>
      <c r="AT26" s="229">
        <v>44228</v>
      </c>
      <c r="AU26" s="229">
        <v>44256</v>
      </c>
      <c r="AV26" s="229">
        <v>44287</v>
      </c>
      <c r="AW26" s="229">
        <v>44317</v>
      </c>
      <c r="AX26" s="229">
        <v>44348</v>
      </c>
      <c r="AY26" s="229">
        <v>44378</v>
      </c>
      <c r="AZ26" s="229">
        <v>44409</v>
      </c>
      <c r="BA26" s="229">
        <v>44440</v>
      </c>
      <c r="BB26" s="229">
        <v>44470</v>
      </c>
      <c r="BC26" s="229">
        <v>44501</v>
      </c>
      <c r="BD26" s="229">
        <v>44531</v>
      </c>
      <c r="BE26" s="229" t="s">
        <v>13</v>
      </c>
      <c r="BF26" s="229" t="s">
        <v>14</v>
      </c>
      <c r="BG26" s="229">
        <v>44562</v>
      </c>
      <c r="BH26" s="229">
        <v>44593</v>
      </c>
      <c r="BI26" s="229">
        <v>44621</v>
      </c>
      <c r="BJ26" s="229">
        <v>44652</v>
      </c>
      <c r="BK26" s="229">
        <v>44682</v>
      </c>
      <c r="BL26" s="229">
        <v>44713</v>
      </c>
      <c r="BM26" s="229">
        <v>44743</v>
      </c>
      <c r="BN26" s="229">
        <v>44774</v>
      </c>
      <c r="BO26" s="229">
        <v>44805</v>
      </c>
      <c r="BP26" s="229">
        <v>44835</v>
      </c>
      <c r="BQ26" s="229">
        <v>44866</v>
      </c>
      <c r="BR26" s="229">
        <v>44896</v>
      </c>
      <c r="BS26" s="229" t="s">
        <v>145</v>
      </c>
      <c r="BT26" s="229" t="s">
        <v>146</v>
      </c>
      <c r="BU26" s="229" t="s">
        <v>14</v>
      </c>
      <c r="CN26" s="21"/>
      <c r="DB26" s="21"/>
    </row>
    <row r="27" spans="1:117" ht="27" customHeight="1" thickBot="1" x14ac:dyDescent="0.35">
      <c r="B27" s="237"/>
      <c r="C27" s="239"/>
      <c r="D27" s="28" t="s">
        <v>16</v>
      </c>
      <c r="E27" s="239"/>
      <c r="F27" s="241"/>
      <c r="G27" s="235"/>
      <c r="H27" s="235"/>
      <c r="I27" s="243"/>
      <c r="J27" s="240"/>
      <c r="K27" s="244"/>
      <c r="L27" s="233"/>
      <c r="M27" s="235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0"/>
      <c r="AR27" s="230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CN27" s="21"/>
      <c r="DB27" s="21"/>
    </row>
    <row r="28" spans="1:117" ht="26.25" customHeight="1" thickBot="1" x14ac:dyDescent="0.35">
      <c r="B28" s="90" t="s">
        <v>130</v>
      </c>
      <c r="C28" s="64">
        <v>43579</v>
      </c>
      <c r="D28" s="13" t="s">
        <v>128</v>
      </c>
      <c r="E28" s="8" t="s">
        <v>135</v>
      </c>
      <c r="F28" s="10">
        <v>9313000</v>
      </c>
      <c r="G28" s="10"/>
      <c r="H28" s="39">
        <f>F28/5/12*8</f>
        <v>1241733.3333333333</v>
      </c>
      <c r="I28" s="67">
        <v>0.2</v>
      </c>
      <c r="J28" s="10">
        <v>5</v>
      </c>
      <c r="K28" s="10">
        <f>F28+G28</f>
        <v>9313000</v>
      </c>
      <c r="L28" s="10"/>
      <c r="M28" s="10"/>
      <c r="O28" s="20">
        <f>+H28</f>
        <v>1241733.3333333333</v>
      </c>
      <c r="P28" s="18">
        <f>K28-O28</f>
        <v>8071266.666666667</v>
      </c>
      <c r="Q28" s="22">
        <f>$F$28*$I$28/12</f>
        <v>155216.66666666666</v>
      </c>
      <c r="R28" s="22">
        <f t="shared" ref="R28:AB28" si="29">$F$28*$I$28/12</f>
        <v>155216.66666666666</v>
      </c>
      <c r="S28" s="22">
        <f t="shared" si="29"/>
        <v>155216.66666666666</v>
      </c>
      <c r="T28" s="22">
        <f t="shared" si="29"/>
        <v>155216.66666666666</v>
      </c>
      <c r="U28" s="22">
        <f t="shared" si="29"/>
        <v>155216.66666666666</v>
      </c>
      <c r="V28" s="22">
        <f t="shared" si="29"/>
        <v>155216.66666666666</v>
      </c>
      <c r="W28" s="22">
        <f t="shared" si="29"/>
        <v>155216.66666666666</v>
      </c>
      <c r="X28" s="22">
        <f t="shared" si="29"/>
        <v>155216.66666666666</v>
      </c>
      <c r="Y28" s="22">
        <f t="shared" si="29"/>
        <v>155216.66666666666</v>
      </c>
      <c r="Z28" s="22">
        <f t="shared" si="29"/>
        <v>155216.66666666666</v>
      </c>
      <c r="AA28" s="22">
        <f t="shared" si="29"/>
        <v>155216.66666666666</v>
      </c>
      <c r="AB28" s="22">
        <f t="shared" si="29"/>
        <v>155216.66666666666</v>
      </c>
      <c r="AC28" s="18">
        <f>SUM(Q28:AB28)+O28</f>
        <v>3104333.3333333335</v>
      </c>
      <c r="AD28" s="19">
        <f>K28-AC28</f>
        <v>6208666.666666666</v>
      </c>
      <c r="AE28" s="22">
        <f>$F$28*$I$28/12</f>
        <v>155216.66666666666</v>
      </c>
      <c r="AF28" s="22">
        <f t="shared" ref="AF28:AP28" si="30">$F$28*$I$28/12</f>
        <v>155216.66666666666</v>
      </c>
      <c r="AG28" s="22">
        <f t="shared" si="30"/>
        <v>155216.66666666666</v>
      </c>
      <c r="AH28" s="22">
        <f t="shared" si="30"/>
        <v>155216.66666666666</v>
      </c>
      <c r="AI28" s="22">
        <f t="shared" si="30"/>
        <v>155216.66666666666</v>
      </c>
      <c r="AJ28" s="22">
        <f>$F$28*$I$28/12</f>
        <v>155216.66666666666</v>
      </c>
      <c r="AK28" s="22">
        <f t="shared" si="30"/>
        <v>155216.66666666666</v>
      </c>
      <c r="AL28" s="22">
        <f t="shared" si="30"/>
        <v>155216.66666666666</v>
      </c>
      <c r="AM28" s="22">
        <f t="shared" si="30"/>
        <v>155216.66666666666</v>
      </c>
      <c r="AN28" s="22">
        <f t="shared" si="30"/>
        <v>155216.66666666666</v>
      </c>
      <c r="AO28" s="22">
        <f t="shared" si="30"/>
        <v>155216.66666666666</v>
      </c>
      <c r="AP28" s="22">
        <f t="shared" si="30"/>
        <v>155216.66666666666</v>
      </c>
      <c r="AQ28" s="35">
        <f>SUM(AE28:AP28)+AC28</f>
        <v>4966933.333333334</v>
      </c>
      <c r="AR28" s="35">
        <f>+K28-AQ28</f>
        <v>4346066.666666666</v>
      </c>
      <c r="AS28" s="22">
        <f>$F$28*$I$28/12</f>
        <v>155216.66666666666</v>
      </c>
      <c r="AT28" s="22">
        <f t="shared" ref="AT28:BD28" si="31">$F$28*$I$28/12</f>
        <v>155216.66666666666</v>
      </c>
      <c r="AU28" s="22">
        <f t="shared" si="31"/>
        <v>155216.66666666666</v>
      </c>
      <c r="AV28" s="22">
        <f t="shared" si="31"/>
        <v>155216.66666666666</v>
      </c>
      <c r="AW28" s="22">
        <f t="shared" si="31"/>
        <v>155216.66666666666</v>
      </c>
      <c r="AX28" s="22">
        <f>$F$28*$I$28/12</f>
        <v>155216.66666666666</v>
      </c>
      <c r="AY28" s="22">
        <f t="shared" si="31"/>
        <v>155216.66666666666</v>
      </c>
      <c r="AZ28" s="22">
        <f t="shared" si="31"/>
        <v>155216.66666666666</v>
      </c>
      <c r="BA28" s="22">
        <f t="shared" si="31"/>
        <v>155216.66666666666</v>
      </c>
      <c r="BB28" s="22">
        <f t="shared" si="31"/>
        <v>155216.66666666666</v>
      </c>
      <c r="BC28" s="22">
        <f t="shared" si="31"/>
        <v>155216.66666666666</v>
      </c>
      <c r="BD28" s="22">
        <f t="shared" si="31"/>
        <v>155216.66666666666</v>
      </c>
      <c r="BE28" s="35">
        <f>SUM(AS28:BD28)+AQ28</f>
        <v>6829533.333333334</v>
      </c>
      <c r="BF28" s="35">
        <f t="shared" ref="BF28:BF31" si="32">AR28-BE28</f>
        <v>-2483466.6666666679</v>
      </c>
      <c r="BG28" s="31">
        <f>+($K$28*$I$28)/12</f>
        <v>155216.66666666666</v>
      </c>
      <c r="BH28" s="31">
        <f t="shared" ref="BH28:BR28" si="33">+($K$28*$I$28)/12</f>
        <v>155216.66666666666</v>
      </c>
      <c r="BI28" s="31">
        <f t="shared" si="33"/>
        <v>155216.66666666666</v>
      </c>
      <c r="BJ28" s="31">
        <f t="shared" si="33"/>
        <v>155216.66666666666</v>
      </c>
      <c r="BK28" s="31">
        <f t="shared" si="33"/>
        <v>155216.66666666666</v>
      </c>
      <c r="BL28" s="31">
        <f t="shared" si="33"/>
        <v>155216.66666666666</v>
      </c>
      <c r="BM28" s="31">
        <f t="shared" si="33"/>
        <v>155216.66666666666</v>
      </c>
      <c r="BN28" s="31">
        <f t="shared" si="33"/>
        <v>155216.66666666666</v>
      </c>
      <c r="BO28" s="31">
        <f t="shared" si="33"/>
        <v>155216.66666666666</v>
      </c>
      <c r="BP28" s="31">
        <f t="shared" si="33"/>
        <v>155216.66666666666</v>
      </c>
      <c r="BQ28" s="31">
        <f t="shared" si="33"/>
        <v>155216.66666666666</v>
      </c>
      <c r="BR28" s="96">
        <f t="shared" si="33"/>
        <v>155216.66666666666</v>
      </c>
      <c r="BS28" s="102">
        <f>SUM(BG28:BR28)</f>
        <v>1862600.0000000002</v>
      </c>
      <c r="BT28" s="99">
        <f>+AQ28+BS28</f>
        <v>6829533.333333334</v>
      </c>
      <c r="BU28" s="106">
        <f>K28-BT28</f>
        <v>2483466.666666666</v>
      </c>
      <c r="CN28" s="21"/>
      <c r="DB28" s="21"/>
    </row>
    <row r="29" spans="1:117" ht="37.5" customHeight="1" thickBot="1" x14ac:dyDescent="0.35">
      <c r="B29" s="12" t="s">
        <v>132</v>
      </c>
      <c r="C29" s="64">
        <v>44048</v>
      </c>
      <c r="D29" s="13" t="s">
        <v>128</v>
      </c>
      <c r="E29" s="8" t="s">
        <v>136</v>
      </c>
      <c r="F29" s="10">
        <v>8753500</v>
      </c>
      <c r="G29" s="10"/>
      <c r="H29" s="39"/>
      <c r="I29" s="67">
        <v>0.2</v>
      </c>
      <c r="J29" s="10">
        <v>5</v>
      </c>
      <c r="K29" s="10">
        <f t="shared" ref="K29:K30" si="34">F29+G29+H29</f>
        <v>8753500</v>
      </c>
      <c r="L29" s="10"/>
      <c r="M29" s="10"/>
      <c r="O29" s="20">
        <f>+H29</f>
        <v>0</v>
      </c>
      <c r="P29" s="18">
        <f>K29-O29</f>
        <v>8753500</v>
      </c>
      <c r="Q29" s="22"/>
      <c r="R29" s="22"/>
      <c r="S29" s="22"/>
      <c r="T29" s="22"/>
      <c r="U29" s="22"/>
      <c r="V29" s="22"/>
      <c r="W29" s="22"/>
      <c r="X29" s="22">
        <f>$F$29*$I$29/12-8</f>
        <v>145883.66666666666</v>
      </c>
      <c r="Y29" s="22">
        <f t="shared" ref="Y29:AB29" si="35">$F$29*$I$29/12-8</f>
        <v>145883.66666666666</v>
      </c>
      <c r="Z29" s="22">
        <f t="shared" si="35"/>
        <v>145883.66666666666</v>
      </c>
      <c r="AA29" s="22">
        <f t="shared" si="35"/>
        <v>145883.66666666666</v>
      </c>
      <c r="AB29" s="22">
        <f t="shared" si="35"/>
        <v>145883.66666666666</v>
      </c>
      <c r="AC29" s="18">
        <f>SUM(Q29:AB29)+O29</f>
        <v>729418.33333333326</v>
      </c>
      <c r="AD29" s="19">
        <f>K29-AC29</f>
        <v>8024081.666666667</v>
      </c>
      <c r="AE29" s="22">
        <f t="shared" ref="AE29:AK29" si="36">$F$29*$I$29/12-8</f>
        <v>145883.66666666666</v>
      </c>
      <c r="AF29" s="22">
        <f t="shared" si="36"/>
        <v>145883.66666666666</v>
      </c>
      <c r="AG29" s="22">
        <f t="shared" si="36"/>
        <v>145883.66666666666</v>
      </c>
      <c r="AH29" s="22">
        <f t="shared" si="36"/>
        <v>145883.66666666666</v>
      </c>
      <c r="AI29" s="22">
        <f t="shared" si="36"/>
        <v>145883.66666666666</v>
      </c>
      <c r="AJ29" s="22">
        <f t="shared" si="36"/>
        <v>145883.66666666666</v>
      </c>
      <c r="AK29" s="22">
        <f t="shared" si="36"/>
        <v>145883.66666666666</v>
      </c>
      <c r="AL29" s="22">
        <f>$F$29*$I$29/12-8</f>
        <v>145883.66666666666</v>
      </c>
      <c r="AM29" s="22">
        <f t="shared" ref="AM29:AP29" si="37">$F$29*$I$29/12-8</f>
        <v>145883.66666666666</v>
      </c>
      <c r="AN29" s="22">
        <f t="shared" si="37"/>
        <v>145883.66666666666</v>
      </c>
      <c r="AO29" s="22">
        <f t="shared" si="37"/>
        <v>145883.66666666666</v>
      </c>
      <c r="AP29" s="22">
        <f t="shared" si="37"/>
        <v>145883.66666666666</v>
      </c>
      <c r="AQ29" s="35">
        <f>SUM(AE29:AP29)+AC29</f>
        <v>2480022.3333333335</v>
      </c>
      <c r="AR29" s="35">
        <f t="shared" ref="AR29:AR30" si="38">+K29-AQ29</f>
        <v>6273477.666666666</v>
      </c>
      <c r="AS29" s="22">
        <f t="shared" ref="AS29:AY29" si="39">$F$29*$I$29/12-8</f>
        <v>145883.66666666666</v>
      </c>
      <c r="AT29" s="22">
        <f t="shared" si="39"/>
        <v>145883.66666666666</v>
      </c>
      <c r="AU29" s="22">
        <f t="shared" si="39"/>
        <v>145883.66666666666</v>
      </c>
      <c r="AV29" s="22">
        <f t="shared" si="39"/>
        <v>145883.66666666666</v>
      </c>
      <c r="AW29" s="22">
        <f t="shared" si="39"/>
        <v>145883.66666666666</v>
      </c>
      <c r="AX29" s="22">
        <f t="shared" si="39"/>
        <v>145883.66666666666</v>
      </c>
      <c r="AY29" s="22">
        <f t="shared" si="39"/>
        <v>145883.66666666666</v>
      </c>
      <c r="AZ29" s="22">
        <f>$F$29*$I$29/12-8</f>
        <v>145883.66666666666</v>
      </c>
      <c r="BA29" s="22">
        <f t="shared" ref="BA29:BD29" si="40">$F$29*$I$29/12-8</f>
        <v>145883.66666666666</v>
      </c>
      <c r="BB29" s="22">
        <f t="shared" si="40"/>
        <v>145883.66666666666</v>
      </c>
      <c r="BC29" s="22">
        <f t="shared" si="40"/>
        <v>145883.66666666666</v>
      </c>
      <c r="BD29" s="22">
        <f t="shared" si="40"/>
        <v>145883.66666666666</v>
      </c>
      <c r="BE29" s="35">
        <f>SUM(AS29:BD29)+AQ29</f>
        <v>4230626.333333334</v>
      </c>
      <c r="BF29" s="35">
        <f t="shared" si="32"/>
        <v>2042851.3333333321</v>
      </c>
      <c r="BG29" s="31">
        <f>+($K$29*$I$29)/12</f>
        <v>145891.66666666666</v>
      </c>
      <c r="BH29" s="31">
        <f t="shared" ref="BH29:BR29" si="41">+($K$29*$I$29)/12</f>
        <v>145891.66666666666</v>
      </c>
      <c r="BI29" s="31">
        <f t="shared" si="41"/>
        <v>145891.66666666666</v>
      </c>
      <c r="BJ29" s="31">
        <f t="shared" si="41"/>
        <v>145891.66666666666</v>
      </c>
      <c r="BK29" s="31">
        <f t="shared" si="41"/>
        <v>145891.66666666666</v>
      </c>
      <c r="BL29" s="31">
        <f t="shared" si="41"/>
        <v>145891.66666666666</v>
      </c>
      <c r="BM29" s="31">
        <f t="shared" si="41"/>
        <v>145891.66666666666</v>
      </c>
      <c r="BN29" s="31">
        <f t="shared" si="41"/>
        <v>145891.66666666666</v>
      </c>
      <c r="BO29" s="31">
        <f t="shared" si="41"/>
        <v>145891.66666666666</v>
      </c>
      <c r="BP29" s="31">
        <f t="shared" si="41"/>
        <v>145891.66666666666</v>
      </c>
      <c r="BQ29" s="31">
        <f t="shared" si="41"/>
        <v>145891.66666666666</v>
      </c>
      <c r="BR29" s="96">
        <f t="shared" si="41"/>
        <v>145891.66666666666</v>
      </c>
      <c r="BS29" s="103">
        <f t="shared" ref="BS29:BS37" si="42">SUM(BG29:BR29)</f>
        <v>1750700.0000000002</v>
      </c>
      <c r="BT29" s="100">
        <f>+AQ29+BS29</f>
        <v>4230722.333333334</v>
      </c>
      <c r="BU29" s="106">
        <f t="shared" ref="BU29:BU44" si="43">K29-BT29</f>
        <v>4522777.666666666</v>
      </c>
      <c r="CN29" s="21"/>
      <c r="DB29" s="21"/>
    </row>
    <row r="30" spans="1:117" ht="30.75" customHeight="1" thickBot="1" x14ac:dyDescent="0.35">
      <c r="B30" s="12" t="s">
        <v>134</v>
      </c>
      <c r="C30" s="64">
        <v>44139</v>
      </c>
      <c r="D30" s="13" t="s">
        <v>93</v>
      </c>
      <c r="E30" s="8" t="s">
        <v>137</v>
      </c>
      <c r="F30" s="10">
        <v>3550000</v>
      </c>
      <c r="G30" s="10"/>
      <c r="H30" s="39"/>
      <c r="I30" s="67">
        <v>0.2</v>
      </c>
      <c r="J30" s="10">
        <v>5</v>
      </c>
      <c r="K30" s="10">
        <f t="shared" si="34"/>
        <v>3550000</v>
      </c>
      <c r="L30" s="10"/>
      <c r="M30" s="10"/>
      <c r="O30" s="18"/>
      <c r="P30" s="18">
        <f>K30-O30</f>
        <v>3550000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>
        <f>$F$30*$I$30/12</f>
        <v>59166.666666666664</v>
      </c>
      <c r="AB30" s="22">
        <f>$F$30*$I$30/12</f>
        <v>59166.666666666664</v>
      </c>
      <c r="AC30" s="18">
        <f t="shared" ref="AC30:AC37" si="44">SUM(Q30:AB30)+O30</f>
        <v>118333.33333333333</v>
      </c>
      <c r="AD30" s="19">
        <f t="shared" ref="AD30:AD44" si="45">K30-AC30</f>
        <v>3431666.6666666665</v>
      </c>
      <c r="AE30" s="22">
        <f t="shared" ref="AE30:AN30" si="46">$F$30*$I$30/12</f>
        <v>59166.666666666664</v>
      </c>
      <c r="AF30" s="22">
        <f t="shared" si="46"/>
        <v>59166.666666666664</v>
      </c>
      <c r="AG30" s="22">
        <f t="shared" si="46"/>
        <v>59166.666666666664</v>
      </c>
      <c r="AH30" s="22">
        <f t="shared" si="46"/>
        <v>59166.666666666664</v>
      </c>
      <c r="AI30" s="22">
        <f t="shared" si="46"/>
        <v>59166.666666666664</v>
      </c>
      <c r="AJ30" s="22">
        <f t="shared" si="46"/>
        <v>59166.666666666664</v>
      </c>
      <c r="AK30" s="22">
        <f t="shared" si="46"/>
        <v>59166.666666666664</v>
      </c>
      <c r="AL30" s="22">
        <f t="shared" si="46"/>
        <v>59166.666666666664</v>
      </c>
      <c r="AM30" s="22">
        <f t="shared" si="46"/>
        <v>59166.666666666664</v>
      </c>
      <c r="AN30" s="22">
        <f t="shared" si="46"/>
        <v>59166.666666666664</v>
      </c>
      <c r="AO30" s="22">
        <f>$F$30*$I$30/12</f>
        <v>59166.666666666664</v>
      </c>
      <c r="AP30" s="22">
        <f>$F$30*$I$30/12</f>
        <v>59166.666666666664</v>
      </c>
      <c r="AQ30" s="35">
        <f>SUM(AE30:AP30)+AC30</f>
        <v>828333.33333333326</v>
      </c>
      <c r="AR30" s="35">
        <f t="shared" si="38"/>
        <v>2721666.666666667</v>
      </c>
      <c r="AS30" s="22">
        <f t="shared" ref="AS30:BB30" si="47">$F$30*$I$30/12</f>
        <v>59166.666666666664</v>
      </c>
      <c r="AT30" s="22">
        <f t="shared" si="47"/>
        <v>59166.666666666664</v>
      </c>
      <c r="AU30" s="22">
        <f t="shared" si="47"/>
        <v>59166.666666666664</v>
      </c>
      <c r="AV30" s="22">
        <f t="shared" si="47"/>
        <v>59166.666666666664</v>
      </c>
      <c r="AW30" s="22">
        <f t="shared" si="47"/>
        <v>59166.666666666664</v>
      </c>
      <c r="AX30" s="22">
        <f t="shared" si="47"/>
        <v>59166.666666666664</v>
      </c>
      <c r="AY30" s="22">
        <f t="shared" si="47"/>
        <v>59166.666666666664</v>
      </c>
      <c r="AZ30" s="22">
        <f t="shared" si="47"/>
        <v>59166.666666666664</v>
      </c>
      <c r="BA30" s="22">
        <f t="shared" si="47"/>
        <v>59166.666666666664</v>
      </c>
      <c r="BB30" s="22">
        <f t="shared" si="47"/>
        <v>59166.666666666664</v>
      </c>
      <c r="BC30" s="22">
        <f>$F$30*$I$30/12</f>
        <v>59166.666666666664</v>
      </c>
      <c r="BD30" s="22">
        <f>$F$30*$I$30/12</f>
        <v>59166.666666666664</v>
      </c>
      <c r="BE30" s="35">
        <f>SUM(AS30:BD30)+AQ30</f>
        <v>1538333.333333333</v>
      </c>
      <c r="BF30" s="35">
        <f t="shared" si="32"/>
        <v>1183333.333333334</v>
      </c>
      <c r="BG30" s="31">
        <f>+($K$30*$I$30)/12</f>
        <v>59166.666666666664</v>
      </c>
      <c r="BH30" s="31">
        <f t="shared" ref="BH30:BR30" si="48">+($K$30*$I$30)/12</f>
        <v>59166.666666666664</v>
      </c>
      <c r="BI30" s="31">
        <f t="shared" si="48"/>
        <v>59166.666666666664</v>
      </c>
      <c r="BJ30" s="31">
        <f t="shared" si="48"/>
        <v>59166.666666666664</v>
      </c>
      <c r="BK30" s="31">
        <f t="shared" si="48"/>
        <v>59166.666666666664</v>
      </c>
      <c r="BL30" s="31">
        <f t="shared" si="48"/>
        <v>59166.666666666664</v>
      </c>
      <c r="BM30" s="31">
        <f t="shared" si="48"/>
        <v>59166.666666666664</v>
      </c>
      <c r="BN30" s="31">
        <f t="shared" si="48"/>
        <v>59166.666666666664</v>
      </c>
      <c r="BO30" s="31">
        <f t="shared" si="48"/>
        <v>59166.666666666664</v>
      </c>
      <c r="BP30" s="31">
        <f t="shared" si="48"/>
        <v>59166.666666666664</v>
      </c>
      <c r="BQ30" s="31">
        <f t="shared" si="48"/>
        <v>59166.666666666664</v>
      </c>
      <c r="BR30" s="96">
        <f t="shared" si="48"/>
        <v>59166.666666666664</v>
      </c>
      <c r="BS30" s="103">
        <f t="shared" si="42"/>
        <v>709999.99999999988</v>
      </c>
      <c r="BT30" s="100">
        <f t="shared" ref="BT30:BT37" si="49">+AQ30+BS30</f>
        <v>1538333.333333333</v>
      </c>
      <c r="BU30" s="106">
        <f t="shared" si="43"/>
        <v>2011666.666666667</v>
      </c>
      <c r="CN30" s="21"/>
      <c r="DB30" s="21"/>
    </row>
    <row r="31" spans="1:117" ht="30.75" customHeight="1" thickBot="1" x14ac:dyDescent="0.35">
      <c r="B31" s="89" t="s">
        <v>139</v>
      </c>
      <c r="C31" s="64">
        <v>44254</v>
      </c>
      <c r="D31" s="13" t="s">
        <v>89</v>
      </c>
      <c r="E31" s="8" t="s">
        <v>141</v>
      </c>
      <c r="F31" s="10">
        <f>3800000/1.19</f>
        <v>3193277.3109243698</v>
      </c>
      <c r="G31" s="10">
        <f>F31*19%</f>
        <v>606722.68907563027</v>
      </c>
      <c r="H31" s="39"/>
      <c r="I31" s="67">
        <v>0.2</v>
      </c>
      <c r="J31" s="10">
        <v>5</v>
      </c>
      <c r="K31" s="10">
        <f>F31+G31+H31</f>
        <v>3800000</v>
      </c>
      <c r="L31" s="10"/>
      <c r="M31" s="10">
        <v>0</v>
      </c>
      <c r="O31" s="18">
        <v>0</v>
      </c>
      <c r="P31" s="18">
        <f>K31-O31</f>
        <v>3800000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18">
        <f t="shared" si="44"/>
        <v>0</v>
      </c>
      <c r="AD31" s="19">
        <f>K31-AC31</f>
        <v>3800000</v>
      </c>
      <c r="AE31" s="22"/>
      <c r="AF31" s="22"/>
      <c r="AG31" s="22">
        <f>$K$31*$I$31/12</f>
        <v>63333.333333333336</v>
      </c>
      <c r="AH31" s="22">
        <f t="shared" ref="AH31:AP31" si="50">$K$31*$I$31/12</f>
        <v>63333.333333333336</v>
      </c>
      <c r="AI31" s="22">
        <f t="shared" si="50"/>
        <v>63333.333333333336</v>
      </c>
      <c r="AJ31" s="22">
        <f t="shared" si="50"/>
        <v>63333.333333333336</v>
      </c>
      <c r="AK31" s="22">
        <f t="shared" si="50"/>
        <v>63333.333333333336</v>
      </c>
      <c r="AL31" s="22">
        <f t="shared" si="50"/>
        <v>63333.333333333336</v>
      </c>
      <c r="AM31" s="22">
        <f t="shared" si="50"/>
        <v>63333.333333333336</v>
      </c>
      <c r="AN31" s="22">
        <f t="shared" si="50"/>
        <v>63333.333333333336</v>
      </c>
      <c r="AO31" s="22">
        <f t="shared" si="50"/>
        <v>63333.333333333336</v>
      </c>
      <c r="AP31" s="22">
        <f t="shared" si="50"/>
        <v>63333.333333333336</v>
      </c>
      <c r="AQ31" s="35">
        <f t="shared" ref="AQ31:AQ37" si="51">SUM(AE31:AP31)+AC31</f>
        <v>633333.33333333337</v>
      </c>
      <c r="AR31" s="35">
        <f t="shared" ref="AR31:AR35" si="52">AD31-AQ31</f>
        <v>3166666.6666666665</v>
      </c>
      <c r="AS31" s="22"/>
      <c r="AT31" s="22"/>
      <c r="AU31" s="22">
        <f>$K$31*$I$31/12</f>
        <v>63333.333333333336</v>
      </c>
      <c r="AV31" s="22">
        <f t="shared" ref="AV31:BD31" si="53">$K$31*$I$31/12</f>
        <v>63333.333333333336</v>
      </c>
      <c r="AW31" s="22">
        <f t="shared" si="53"/>
        <v>63333.333333333336</v>
      </c>
      <c r="AX31" s="22">
        <f t="shared" si="53"/>
        <v>63333.333333333336</v>
      </c>
      <c r="AY31" s="22">
        <f t="shared" si="53"/>
        <v>63333.333333333336</v>
      </c>
      <c r="AZ31" s="22">
        <f t="shared" si="53"/>
        <v>63333.333333333336</v>
      </c>
      <c r="BA31" s="22">
        <f t="shared" si="53"/>
        <v>63333.333333333336</v>
      </c>
      <c r="BB31" s="22">
        <f t="shared" si="53"/>
        <v>63333.333333333336</v>
      </c>
      <c r="BC31" s="22">
        <f t="shared" si="53"/>
        <v>63333.333333333336</v>
      </c>
      <c r="BD31" s="22">
        <f t="shared" si="53"/>
        <v>63333.333333333336</v>
      </c>
      <c r="BE31" s="35">
        <f t="shared" ref="BE31" si="54">SUM(AS31:BD31)+AQ31</f>
        <v>1266666.6666666667</v>
      </c>
      <c r="BF31" s="35">
        <f t="shared" si="32"/>
        <v>1899999.9999999998</v>
      </c>
      <c r="BG31" s="31">
        <f>+($K$31*$I$31)/12</f>
        <v>63333.333333333336</v>
      </c>
      <c r="BH31" s="31">
        <f t="shared" ref="BH31:BR31" si="55">+($K$31*$I$31)/12</f>
        <v>63333.333333333336</v>
      </c>
      <c r="BI31" s="31">
        <f t="shared" si="55"/>
        <v>63333.333333333336</v>
      </c>
      <c r="BJ31" s="31">
        <f t="shared" si="55"/>
        <v>63333.333333333336</v>
      </c>
      <c r="BK31" s="31">
        <f t="shared" si="55"/>
        <v>63333.333333333336</v>
      </c>
      <c r="BL31" s="31">
        <f t="shared" si="55"/>
        <v>63333.333333333336</v>
      </c>
      <c r="BM31" s="31">
        <f t="shared" si="55"/>
        <v>63333.333333333336</v>
      </c>
      <c r="BN31" s="31">
        <f t="shared" si="55"/>
        <v>63333.333333333336</v>
      </c>
      <c r="BO31" s="31">
        <f t="shared" si="55"/>
        <v>63333.333333333336</v>
      </c>
      <c r="BP31" s="31">
        <f t="shared" si="55"/>
        <v>63333.333333333336</v>
      </c>
      <c r="BQ31" s="31">
        <f t="shared" si="55"/>
        <v>63333.333333333336</v>
      </c>
      <c r="BR31" s="96">
        <f t="shared" si="55"/>
        <v>63333.333333333336</v>
      </c>
      <c r="BS31" s="103">
        <f t="shared" si="42"/>
        <v>760000.00000000012</v>
      </c>
      <c r="BT31" s="100">
        <f t="shared" si="49"/>
        <v>1393333.3333333335</v>
      </c>
      <c r="BU31" s="106">
        <f t="shared" si="43"/>
        <v>2406666.6666666665</v>
      </c>
      <c r="CN31" s="21"/>
      <c r="DB31" s="21"/>
    </row>
    <row r="32" spans="1:117" ht="60.6" thickBot="1" x14ac:dyDescent="0.35">
      <c r="B32" s="89" t="s">
        <v>140</v>
      </c>
      <c r="C32" s="64">
        <v>44254</v>
      </c>
      <c r="D32" s="13"/>
      <c r="E32" s="8" t="s">
        <v>141</v>
      </c>
      <c r="F32" s="10">
        <v>1780000</v>
      </c>
      <c r="G32" s="10"/>
      <c r="H32" s="39"/>
      <c r="I32" s="67">
        <v>1</v>
      </c>
      <c r="J32" s="10">
        <v>1</v>
      </c>
      <c r="K32" s="10">
        <f t="shared" ref="K32:K41" si="56">F32+G32+H32</f>
        <v>1780000</v>
      </c>
      <c r="L32" s="10" t="s">
        <v>143</v>
      </c>
      <c r="M32" s="10"/>
      <c r="O32" s="18">
        <v>0</v>
      </c>
      <c r="P32" s="18">
        <f t="shared" ref="P32:P33" si="57">K32-O32</f>
        <v>1780000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18"/>
      <c r="AD32" s="19"/>
      <c r="AE32" s="22"/>
      <c r="AF32" s="22"/>
      <c r="AG32" s="22">
        <f>+P32</f>
        <v>1780000</v>
      </c>
      <c r="AH32" s="22"/>
      <c r="AI32" s="22"/>
      <c r="AJ32" s="22"/>
      <c r="AK32" s="22"/>
      <c r="AL32" s="22"/>
      <c r="AM32" s="22"/>
      <c r="AN32" s="22"/>
      <c r="AO32" s="22"/>
      <c r="AP32" s="22"/>
      <c r="AQ32" s="35">
        <f>+K32</f>
        <v>1780000</v>
      </c>
      <c r="AR32" s="35"/>
      <c r="AS32" s="22"/>
      <c r="AT32" s="22"/>
      <c r="AU32" s="22">
        <f>+AD32</f>
        <v>0</v>
      </c>
      <c r="AV32" s="22"/>
      <c r="AW32" s="22"/>
      <c r="AX32" s="22"/>
      <c r="AY32" s="22"/>
      <c r="AZ32" s="22"/>
      <c r="BA32" s="22"/>
      <c r="BB32" s="22"/>
      <c r="BC32" s="22"/>
      <c r="BD32" s="22"/>
      <c r="BE32" s="35"/>
      <c r="BF32" s="35"/>
      <c r="BG32" s="31">
        <v>0</v>
      </c>
      <c r="BH32" s="31">
        <v>0</v>
      </c>
      <c r="BI32" s="31">
        <v>0</v>
      </c>
      <c r="BJ32" s="31">
        <v>0</v>
      </c>
      <c r="BK32" s="31">
        <v>0</v>
      </c>
      <c r="BL32" s="31">
        <v>0</v>
      </c>
      <c r="BM32" s="31">
        <v>0</v>
      </c>
      <c r="BN32" s="31">
        <v>0</v>
      </c>
      <c r="BO32" s="31">
        <v>0</v>
      </c>
      <c r="BP32" s="31">
        <v>0</v>
      </c>
      <c r="BQ32" s="31">
        <v>0</v>
      </c>
      <c r="BR32" s="96">
        <v>0</v>
      </c>
      <c r="BS32" s="103">
        <f t="shared" si="42"/>
        <v>0</v>
      </c>
      <c r="BT32" s="100">
        <f t="shared" si="49"/>
        <v>1780000</v>
      </c>
      <c r="BU32" s="106">
        <f t="shared" si="43"/>
        <v>0</v>
      </c>
      <c r="CN32" s="21"/>
      <c r="DB32" s="21"/>
    </row>
    <row r="33" spans="2:106" ht="60.6" thickBot="1" x14ac:dyDescent="0.35">
      <c r="B33" s="89" t="s">
        <v>142</v>
      </c>
      <c r="C33" s="64">
        <v>44254</v>
      </c>
      <c r="D33" s="13"/>
      <c r="E33" s="8" t="s">
        <v>141</v>
      </c>
      <c r="F33" s="10">
        <f>(200000+378000+200000)/1.19</f>
        <v>653781.51260504208</v>
      </c>
      <c r="G33" s="10">
        <f>F33*19%</f>
        <v>124218.48739495799</v>
      </c>
      <c r="H33" s="39"/>
      <c r="I33" s="67">
        <v>1</v>
      </c>
      <c r="J33" s="10">
        <v>1</v>
      </c>
      <c r="K33" s="10">
        <f t="shared" si="56"/>
        <v>778000.00000000012</v>
      </c>
      <c r="L33" s="10" t="s">
        <v>143</v>
      </c>
      <c r="M33" s="10"/>
      <c r="O33" s="18">
        <v>0</v>
      </c>
      <c r="P33" s="18">
        <f t="shared" si="57"/>
        <v>778000.00000000012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18"/>
      <c r="AD33" s="19"/>
      <c r="AE33" s="22"/>
      <c r="AF33" s="22"/>
      <c r="AG33" s="22">
        <f>+P33</f>
        <v>778000.00000000012</v>
      </c>
      <c r="AH33" s="22"/>
      <c r="AI33" s="22"/>
      <c r="AJ33" s="22"/>
      <c r="AK33" s="22"/>
      <c r="AL33" s="22"/>
      <c r="AM33" s="22"/>
      <c r="AN33" s="22"/>
      <c r="AO33" s="22"/>
      <c r="AP33" s="22"/>
      <c r="AQ33" s="35">
        <f>+K33</f>
        <v>778000.00000000012</v>
      </c>
      <c r="AR33" s="35"/>
      <c r="AS33" s="22"/>
      <c r="AT33" s="22"/>
      <c r="AU33" s="22">
        <f>+AD33</f>
        <v>0</v>
      </c>
      <c r="AV33" s="22"/>
      <c r="AW33" s="22"/>
      <c r="AX33" s="22"/>
      <c r="AY33" s="22"/>
      <c r="AZ33" s="22"/>
      <c r="BA33" s="22"/>
      <c r="BB33" s="22"/>
      <c r="BC33" s="22"/>
      <c r="BD33" s="22"/>
      <c r="BE33" s="35"/>
      <c r="BF33" s="35"/>
      <c r="BG33" s="31">
        <v>0</v>
      </c>
      <c r="BH33" s="31">
        <v>0</v>
      </c>
      <c r="BI33" s="31">
        <v>0</v>
      </c>
      <c r="BJ33" s="31">
        <v>0</v>
      </c>
      <c r="BK33" s="31">
        <v>0</v>
      </c>
      <c r="BL33" s="31">
        <v>0</v>
      </c>
      <c r="BM33" s="31">
        <v>0</v>
      </c>
      <c r="BN33" s="31">
        <v>0</v>
      </c>
      <c r="BO33" s="31">
        <v>0</v>
      </c>
      <c r="BP33" s="31">
        <v>0</v>
      </c>
      <c r="BQ33" s="31">
        <v>0</v>
      </c>
      <c r="BR33" s="96">
        <v>0</v>
      </c>
      <c r="BS33" s="103">
        <f t="shared" si="42"/>
        <v>0</v>
      </c>
      <c r="BT33" s="100">
        <f t="shared" si="49"/>
        <v>778000.00000000012</v>
      </c>
      <c r="BU33" s="106">
        <f t="shared" si="43"/>
        <v>0</v>
      </c>
      <c r="CN33" s="21"/>
      <c r="DB33" s="21"/>
    </row>
    <row r="34" spans="2:106" ht="26.25" customHeight="1" thickBot="1" x14ac:dyDescent="0.35">
      <c r="B34" s="12" t="s">
        <v>96</v>
      </c>
      <c r="C34" s="64">
        <v>44311</v>
      </c>
      <c r="D34" s="13" t="s">
        <v>93</v>
      </c>
      <c r="E34" s="8"/>
      <c r="F34" s="10">
        <v>3899900</v>
      </c>
      <c r="G34" s="10">
        <v>0</v>
      </c>
      <c r="H34" s="39"/>
      <c r="I34" s="67">
        <v>0.2</v>
      </c>
      <c r="J34" s="10">
        <v>5</v>
      </c>
      <c r="K34" s="10">
        <f t="shared" si="56"/>
        <v>3899900</v>
      </c>
      <c r="L34" s="10"/>
      <c r="M34" s="10"/>
      <c r="O34" s="18"/>
      <c r="P34" s="18">
        <f t="shared" ref="P34:P37" si="58">K34-O34</f>
        <v>3899900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18">
        <f t="shared" si="44"/>
        <v>0</v>
      </c>
      <c r="AD34" s="19">
        <f t="shared" si="45"/>
        <v>3899900</v>
      </c>
      <c r="AE34" s="22"/>
      <c r="AF34" s="22"/>
      <c r="AG34" s="22"/>
      <c r="AH34" s="22"/>
      <c r="AI34" s="22">
        <f>$K$34*$I$34/12</f>
        <v>64998.333333333336</v>
      </c>
      <c r="AJ34" s="22">
        <f>$K$34*$I$34/12</f>
        <v>64998.333333333336</v>
      </c>
      <c r="AK34" s="22">
        <f t="shared" ref="AK34:AP34" si="59">$K$34*$I$34/12</f>
        <v>64998.333333333336</v>
      </c>
      <c r="AL34" s="22">
        <f t="shared" si="59"/>
        <v>64998.333333333336</v>
      </c>
      <c r="AM34" s="22">
        <f t="shared" si="59"/>
        <v>64998.333333333336</v>
      </c>
      <c r="AN34" s="22">
        <f t="shared" si="59"/>
        <v>64998.333333333336</v>
      </c>
      <c r="AO34" s="22">
        <f t="shared" si="59"/>
        <v>64998.333333333336</v>
      </c>
      <c r="AP34" s="22">
        <f t="shared" si="59"/>
        <v>64998.333333333336</v>
      </c>
      <c r="AQ34" s="35">
        <f t="shared" si="51"/>
        <v>519986.66666666663</v>
      </c>
      <c r="AR34" s="35">
        <f t="shared" si="52"/>
        <v>3379913.3333333335</v>
      </c>
      <c r="AS34" s="22"/>
      <c r="AT34" s="22"/>
      <c r="AU34" s="22"/>
      <c r="AV34" s="22"/>
      <c r="AW34" s="22">
        <f>$K$34*$I$34/12</f>
        <v>64998.333333333336</v>
      </c>
      <c r="AX34" s="22">
        <f>$K$34*$I$34/12</f>
        <v>64998.333333333336</v>
      </c>
      <c r="AY34" s="22">
        <f t="shared" ref="AY34:BD34" si="60">$K$34*$I$34/12</f>
        <v>64998.333333333336</v>
      </c>
      <c r="AZ34" s="22">
        <f t="shared" si="60"/>
        <v>64998.333333333336</v>
      </c>
      <c r="BA34" s="22">
        <f t="shared" si="60"/>
        <v>64998.333333333336</v>
      </c>
      <c r="BB34" s="22">
        <f t="shared" si="60"/>
        <v>64998.333333333336</v>
      </c>
      <c r="BC34" s="22">
        <f t="shared" si="60"/>
        <v>64998.333333333336</v>
      </c>
      <c r="BD34" s="22">
        <f t="shared" si="60"/>
        <v>64998.333333333336</v>
      </c>
      <c r="BE34" s="35">
        <f t="shared" ref="BE34:BE37" si="61">SUM(AS34:BD34)+AQ34</f>
        <v>1039973.3333333333</v>
      </c>
      <c r="BF34" s="35">
        <f t="shared" ref="BF34:BF37" si="62">AR34-BE34</f>
        <v>2339940</v>
      </c>
      <c r="BG34" s="31">
        <f>+($K$34*$I$34)/12</f>
        <v>64998.333333333336</v>
      </c>
      <c r="BH34" s="31">
        <f t="shared" ref="BH34:BR34" si="63">+($K$34*$I$34)/12</f>
        <v>64998.333333333336</v>
      </c>
      <c r="BI34" s="31">
        <f t="shared" si="63"/>
        <v>64998.333333333336</v>
      </c>
      <c r="BJ34" s="31">
        <f t="shared" si="63"/>
        <v>64998.333333333336</v>
      </c>
      <c r="BK34" s="31">
        <f t="shared" si="63"/>
        <v>64998.333333333336</v>
      </c>
      <c r="BL34" s="31">
        <f t="shared" si="63"/>
        <v>64998.333333333336</v>
      </c>
      <c r="BM34" s="31">
        <f t="shared" si="63"/>
        <v>64998.333333333336</v>
      </c>
      <c r="BN34" s="31">
        <f t="shared" si="63"/>
        <v>64998.333333333336</v>
      </c>
      <c r="BO34" s="31">
        <f t="shared" si="63"/>
        <v>64998.333333333336</v>
      </c>
      <c r="BP34" s="31">
        <f t="shared" si="63"/>
        <v>64998.333333333336</v>
      </c>
      <c r="BQ34" s="31">
        <f t="shared" si="63"/>
        <v>64998.333333333336</v>
      </c>
      <c r="BR34" s="96">
        <f t="shared" si="63"/>
        <v>64998.333333333336</v>
      </c>
      <c r="BS34" s="103">
        <f t="shared" si="42"/>
        <v>779980.00000000012</v>
      </c>
      <c r="BT34" s="100">
        <f t="shared" si="49"/>
        <v>1299966.6666666667</v>
      </c>
      <c r="BU34" s="106">
        <f t="shared" si="43"/>
        <v>2599933.333333333</v>
      </c>
      <c r="CN34" s="21"/>
      <c r="DB34" s="21"/>
    </row>
    <row r="35" spans="2:106" ht="26.25" customHeight="1" thickBot="1" x14ac:dyDescent="0.35">
      <c r="B35" s="12" t="s">
        <v>100</v>
      </c>
      <c r="C35" s="64">
        <v>44335</v>
      </c>
      <c r="D35" s="13" t="s">
        <v>112</v>
      </c>
      <c r="E35" s="8"/>
      <c r="F35" s="10">
        <v>4579831</v>
      </c>
      <c r="G35" s="10">
        <v>870168</v>
      </c>
      <c r="H35" s="39"/>
      <c r="I35" s="67">
        <v>0.2</v>
      </c>
      <c r="J35" s="10">
        <v>5</v>
      </c>
      <c r="K35" s="10">
        <f t="shared" si="56"/>
        <v>5449999</v>
      </c>
      <c r="L35" s="10"/>
      <c r="M35" s="10"/>
      <c r="O35" s="18"/>
      <c r="P35" s="18">
        <f t="shared" si="58"/>
        <v>5449999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18">
        <f t="shared" si="44"/>
        <v>0</v>
      </c>
      <c r="AD35" s="19">
        <f t="shared" si="45"/>
        <v>5449999</v>
      </c>
      <c r="AE35" s="22"/>
      <c r="AF35" s="22"/>
      <c r="AG35" s="22"/>
      <c r="AH35" s="22"/>
      <c r="AI35" s="22"/>
      <c r="AJ35" s="22">
        <f>$K$35*$I$35/12</f>
        <v>90833.316666666666</v>
      </c>
      <c r="AK35" s="22">
        <f t="shared" ref="AK35:AP35" si="64">$K$35*$I$35/12</f>
        <v>90833.316666666666</v>
      </c>
      <c r="AL35" s="22">
        <f t="shared" si="64"/>
        <v>90833.316666666666</v>
      </c>
      <c r="AM35" s="22">
        <f t="shared" si="64"/>
        <v>90833.316666666666</v>
      </c>
      <c r="AN35" s="22">
        <f t="shared" si="64"/>
        <v>90833.316666666666</v>
      </c>
      <c r="AO35" s="22">
        <f t="shared" si="64"/>
        <v>90833.316666666666</v>
      </c>
      <c r="AP35" s="22">
        <f t="shared" si="64"/>
        <v>90833.316666666666</v>
      </c>
      <c r="AQ35" s="35">
        <f t="shared" si="51"/>
        <v>635833.21666666667</v>
      </c>
      <c r="AR35" s="35">
        <f t="shared" si="52"/>
        <v>4814165.7833333332</v>
      </c>
      <c r="AS35" s="22"/>
      <c r="AT35" s="22"/>
      <c r="AU35" s="22"/>
      <c r="AV35" s="22"/>
      <c r="AW35" s="22"/>
      <c r="AX35" s="22">
        <f>$K$35*$I$35/12</f>
        <v>90833.316666666666</v>
      </c>
      <c r="AY35" s="22">
        <f t="shared" ref="AY35:BD35" si="65">$K$35*$I$35/12</f>
        <v>90833.316666666666</v>
      </c>
      <c r="AZ35" s="22">
        <f t="shared" si="65"/>
        <v>90833.316666666666</v>
      </c>
      <c r="BA35" s="22">
        <f t="shared" si="65"/>
        <v>90833.316666666666</v>
      </c>
      <c r="BB35" s="22">
        <f t="shared" si="65"/>
        <v>90833.316666666666</v>
      </c>
      <c r="BC35" s="22">
        <f t="shared" si="65"/>
        <v>90833.316666666666</v>
      </c>
      <c r="BD35" s="22">
        <f t="shared" si="65"/>
        <v>90833.316666666666</v>
      </c>
      <c r="BE35" s="35">
        <f t="shared" si="61"/>
        <v>1271666.4333333333</v>
      </c>
      <c r="BF35" s="35">
        <f t="shared" si="62"/>
        <v>3542499.3499999996</v>
      </c>
      <c r="BG35" s="31">
        <f>+($K$35*$I$35)/12</f>
        <v>90833.316666666666</v>
      </c>
      <c r="BH35" s="31">
        <f t="shared" ref="BH35:BR35" si="66">+($K$35*$I$35)/12</f>
        <v>90833.316666666666</v>
      </c>
      <c r="BI35" s="31">
        <f t="shared" si="66"/>
        <v>90833.316666666666</v>
      </c>
      <c r="BJ35" s="31">
        <f t="shared" si="66"/>
        <v>90833.316666666666</v>
      </c>
      <c r="BK35" s="31">
        <f t="shared" si="66"/>
        <v>90833.316666666666</v>
      </c>
      <c r="BL35" s="31">
        <f t="shared" si="66"/>
        <v>90833.316666666666</v>
      </c>
      <c r="BM35" s="31">
        <f t="shared" si="66"/>
        <v>90833.316666666666</v>
      </c>
      <c r="BN35" s="31">
        <f t="shared" si="66"/>
        <v>90833.316666666666</v>
      </c>
      <c r="BO35" s="31">
        <f t="shared" si="66"/>
        <v>90833.316666666666</v>
      </c>
      <c r="BP35" s="31">
        <f t="shared" si="66"/>
        <v>90833.316666666666</v>
      </c>
      <c r="BQ35" s="31">
        <f t="shared" si="66"/>
        <v>90833.316666666666</v>
      </c>
      <c r="BR35" s="96">
        <f t="shared" si="66"/>
        <v>90833.316666666666</v>
      </c>
      <c r="BS35" s="103">
        <f t="shared" si="42"/>
        <v>1089999.8</v>
      </c>
      <c r="BT35" s="100">
        <f t="shared" si="49"/>
        <v>1725833.0166666666</v>
      </c>
      <c r="BU35" s="106">
        <f t="shared" si="43"/>
        <v>3724165.9833333334</v>
      </c>
      <c r="CN35" s="21"/>
      <c r="DB35" s="21"/>
    </row>
    <row r="36" spans="2:106" ht="26.25" customHeight="1" thickBot="1" x14ac:dyDescent="0.35">
      <c r="B36" s="12" t="s">
        <v>104</v>
      </c>
      <c r="C36" s="64">
        <v>44342</v>
      </c>
      <c r="D36" s="13" t="s">
        <v>102</v>
      </c>
      <c r="E36" s="8"/>
      <c r="F36" s="10">
        <v>1932520</v>
      </c>
      <c r="G36" s="10">
        <v>0</v>
      </c>
      <c r="H36" s="39"/>
      <c r="I36" s="67">
        <v>0.2</v>
      </c>
      <c r="J36" s="10">
        <v>5</v>
      </c>
      <c r="K36" s="10">
        <f t="shared" si="56"/>
        <v>1932520</v>
      </c>
      <c r="L36" s="10"/>
      <c r="M36" s="10"/>
      <c r="O36" s="18"/>
      <c r="P36" s="18">
        <f t="shared" si="58"/>
        <v>1932520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18">
        <f t="shared" si="44"/>
        <v>0</v>
      </c>
      <c r="AD36" s="19">
        <f t="shared" si="45"/>
        <v>1932520</v>
      </c>
      <c r="AE36" s="22"/>
      <c r="AF36" s="22"/>
      <c r="AG36" s="22"/>
      <c r="AH36" s="22"/>
      <c r="AI36" s="22"/>
      <c r="AJ36" s="22">
        <f t="shared" ref="AJ36:AP36" si="67">$K$36*$I$36/12</f>
        <v>32208.666666666668</v>
      </c>
      <c r="AK36" s="22">
        <f t="shared" si="67"/>
        <v>32208.666666666668</v>
      </c>
      <c r="AL36" s="22">
        <f t="shared" si="67"/>
        <v>32208.666666666668</v>
      </c>
      <c r="AM36" s="22">
        <f t="shared" si="67"/>
        <v>32208.666666666668</v>
      </c>
      <c r="AN36" s="22">
        <f t="shared" si="67"/>
        <v>32208.666666666668</v>
      </c>
      <c r="AO36" s="22">
        <f t="shared" si="67"/>
        <v>32208.666666666668</v>
      </c>
      <c r="AP36" s="22">
        <f t="shared" si="67"/>
        <v>32208.666666666668</v>
      </c>
      <c r="AQ36" s="35">
        <f t="shared" si="51"/>
        <v>225460.66666666666</v>
      </c>
      <c r="AR36" s="35">
        <f t="shared" ref="AR36:AR37" si="68">AD36-AQ36</f>
        <v>1707059.3333333333</v>
      </c>
      <c r="AS36" s="22"/>
      <c r="AT36" s="22"/>
      <c r="AU36" s="22"/>
      <c r="AV36" s="22"/>
      <c r="AW36" s="22"/>
      <c r="AX36" s="22">
        <f t="shared" ref="AX36:BD36" si="69">$K$36*$I$36/12</f>
        <v>32208.666666666668</v>
      </c>
      <c r="AY36" s="22">
        <f t="shared" si="69"/>
        <v>32208.666666666668</v>
      </c>
      <c r="AZ36" s="22">
        <f t="shared" si="69"/>
        <v>32208.666666666668</v>
      </c>
      <c r="BA36" s="22">
        <f t="shared" si="69"/>
        <v>32208.666666666668</v>
      </c>
      <c r="BB36" s="22">
        <f t="shared" si="69"/>
        <v>32208.666666666668</v>
      </c>
      <c r="BC36" s="22">
        <f t="shared" si="69"/>
        <v>32208.666666666668</v>
      </c>
      <c r="BD36" s="22">
        <f t="shared" si="69"/>
        <v>32208.666666666668</v>
      </c>
      <c r="BE36" s="35">
        <f t="shared" si="61"/>
        <v>450921.33333333331</v>
      </c>
      <c r="BF36" s="35">
        <f t="shared" si="62"/>
        <v>1256138</v>
      </c>
      <c r="BG36" s="31">
        <f>+($K$36*$I$36)/12</f>
        <v>32208.666666666668</v>
      </c>
      <c r="BH36" s="31">
        <f t="shared" ref="BH36:BR36" si="70">+($K$36*$I$36)/12</f>
        <v>32208.666666666668</v>
      </c>
      <c r="BI36" s="31">
        <f t="shared" si="70"/>
        <v>32208.666666666668</v>
      </c>
      <c r="BJ36" s="31">
        <f t="shared" si="70"/>
        <v>32208.666666666668</v>
      </c>
      <c r="BK36" s="31">
        <f t="shared" si="70"/>
        <v>32208.666666666668</v>
      </c>
      <c r="BL36" s="31">
        <f t="shared" si="70"/>
        <v>32208.666666666668</v>
      </c>
      <c r="BM36" s="31">
        <f t="shared" si="70"/>
        <v>32208.666666666668</v>
      </c>
      <c r="BN36" s="31">
        <f t="shared" si="70"/>
        <v>32208.666666666668</v>
      </c>
      <c r="BO36" s="31">
        <f t="shared" si="70"/>
        <v>32208.666666666668</v>
      </c>
      <c r="BP36" s="31">
        <f t="shared" si="70"/>
        <v>32208.666666666668</v>
      </c>
      <c r="BQ36" s="31">
        <f t="shared" si="70"/>
        <v>32208.666666666668</v>
      </c>
      <c r="BR36" s="96">
        <f t="shared" si="70"/>
        <v>32208.666666666668</v>
      </c>
      <c r="BS36" s="103">
        <f t="shared" si="42"/>
        <v>386504.00000000006</v>
      </c>
      <c r="BT36" s="100">
        <f t="shared" si="49"/>
        <v>611964.66666666674</v>
      </c>
      <c r="BU36" s="106">
        <f t="shared" si="43"/>
        <v>1320555.3333333333</v>
      </c>
      <c r="CN36" s="21"/>
      <c r="DB36" s="21"/>
    </row>
    <row r="37" spans="2:106" ht="26.25" hidden="1" customHeight="1" thickBot="1" x14ac:dyDescent="0.35">
      <c r="B37" s="12" t="s">
        <v>110</v>
      </c>
      <c r="C37" s="64">
        <v>44233</v>
      </c>
      <c r="D37" s="13" t="s">
        <v>108</v>
      </c>
      <c r="E37" s="8" t="s">
        <v>117</v>
      </c>
      <c r="F37" s="10">
        <v>797900</v>
      </c>
      <c r="G37" s="10">
        <v>0</v>
      </c>
      <c r="H37" s="39"/>
      <c r="I37" s="67">
        <v>1</v>
      </c>
      <c r="J37" s="10">
        <v>1</v>
      </c>
      <c r="K37" s="10">
        <f t="shared" si="56"/>
        <v>797900</v>
      </c>
      <c r="L37" s="10" t="s">
        <v>113</v>
      </c>
      <c r="M37" s="10"/>
      <c r="O37" s="18"/>
      <c r="P37" s="18">
        <f t="shared" si="58"/>
        <v>797900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18">
        <f t="shared" si="44"/>
        <v>0</v>
      </c>
      <c r="AD37" s="19">
        <f t="shared" si="45"/>
        <v>797900</v>
      </c>
      <c r="AE37" s="22"/>
      <c r="AF37" s="22">
        <f>+K37</f>
        <v>797900</v>
      </c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35">
        <f t="shared" si="51"/>
        <v>797900</v>
      </c>
      <c r="AR37" s="35">
        <f t="shared" si="68"/>
        <v>0</v>
      </c>
      <c r="AS37" s="22"/>
      <c r="AT37" s="22">
        <f>+Y37</f>
        <v>0</v>
      </c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35">
        <f t="shared" si="61"/>
        <v>797900</v>
      </c>
      <c r="BF37" s="35">
        <f t="shared" si="62"/>
        <v>-797900</v>
      </c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96"/>
      <c r="BS37" s="104">
        <f t="shared" si="42"/>
        <v>0</v>
      </c>
      <c r="BT37" s="101">
        <f t="shared" si="49"/>
        <v>797900</v>
      </c>
      <c r="BU37" s="106">
        <f t="shared" si="43"/>
        <v>0</v>
      </c>
      <c r="CN37" s="21"/>
      <c r="DB37" s="21"/>
    </row>
    <row r="38" spans="2:106" ht="26.25" customHeight="1" thickBot="1" x14ac:dyDescent="0.35">
      <c r="B38" s="12" t="s">
        <v>148</v>
      </c>
      <c r="C38" s="64">
        <v>44314</v>
      </c>
      <c r="D38" s="13"/>
      <c r="E38" s="8"/>
      <c r="F38" s="10">
        <v>4453781</v>
      </c>
      <c r="G38" s="10">
        <v>846218</v>
      </c>
      <c r="H38" s="39"/>
      <c r="I38" s="67">
        <v>0.2</v>
      </c>
      <c r="J38" s="10"/>
      <c r="K38" s="10">
        <f t="shared" si="56"/>
        <v>5299999</v>
      </c>
      <c r="L38" s="10"/>
      <c r="M38" s="10"/>
      <c r="O38" s="18"/>
      <c r="P38" s="18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18"/>
      <c r="AD38" s="19">
        <f t="shared" si="45"/>
        <v>5299999</v>
      </c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35"/>
      <c r="AR38" s="35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35"/>
      <c r="BF38" s="35"/>
      <c r="BG38" s="31"/>
      <c r="BH38" s="31"/>
      <c r="BI38" s="31"/>
      <c r="BJ38" s="31"/>
      <c r="BK38" s="31">
        <f>+($K$38*$I$38)/12</f>
        <v>88333.316666666666</v>
      </c>
      <c r="BL38" s="31">
        <f t="shared" ref="BL38:BR38" si="71">+($K$38*$I$38)/12</f>
        <v>88333.316666666666</v>
      </c>
      <c r="BM38" s="31">
        <f t="shared" si="71"/>
        <v>88333.316666666666</v>
      </c>
      <c r="BN38" s="31">
        <f t="shared" si="71"/>
        <v>88333.316666666666</v>
      </c>
      <c r="BO38" s="31">
        <f t="shared" si="71"/>
        <v>88333.316666666666</v>
      </c>
      <c r="BP38" s="31">
        <f t="shared" si="71"/>
        <v>88333.316666666666</v>
      </c>
      <c r="BQ38" s="31">
        <f t="shared" si="71"/>
        <v>88333.316666666666</v>
      </c>
      <c r="BR38" s="31">
        <f t="shared" si="71"/>
        <v>88333.316666666666</v>
      </c>
      <c r="BS38" s="104">
        <f t="shared" ref="BS38:BS39" si="72">SUM(BG38:BR38)</f>
        <v>706666.53333333333</v>
      </c>
      <c r="BT38" s="101">
        <f t="shared" ref="BT38:BT39" si="73">+AQ38+BS38</f>
        <v>706666.53333333333</v>
      </c>
      <c r="BU38" s="106">
        <f t="shared" si="43"/>
        <v>4593332.4666666668</v>
      </c>
      <c r="CN38" s="21"/>
      <c r="DB38" s="21"/>
    </row>
    <row r="39" spans="2:106" ht="26.25" customHeight="1" thickBot="1" x14ac:dyDescent="0.35">
      <c r="B39" s="12" t="s">
        <v>149</v>
      </c>
      <c r="C39" s="64">
        <v>44322</v>
      </c>
      <c r="D39" s="13"/>
      <c r="E39" s="8"/>
      <c r="F39" s="10">
        <v>5268908</v>
      </c>
      <c r="G39" s="10">
        <v>1001092</v>
      </c>
      <c r="H39" s="39"/>
      <c r="I39" s="67">
        <v>0.2</v>
      </c>
      <c r="J39" s="10"/>
      <c r="K39" s="10">
        <f t="shared" si="56"/>
        <v>6270000</v>
      </c>
      <c r="L39" s="10"/>
      <c r="M39" s="10"/>
      <c r="O39" s="18"/>
      <c r="P39" s="18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18"/>
      <c r="AD39" s="19">
        <f t="shared" si="45"/>
        <v>6270000</v>
      </c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35"/>
      <c r="AR39" s="35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35"/>
      <c r="BF39" s="35"/>
      <c r="BG39" s="31"/>
      <c r="BH39" s="31"/>
      <c r="BI39" s="31"/>
      <c r="BJ39" s="31"/>
      <c r="BK39" s="31"/>
      <c r="BL39" s="31">
        <f>+($K$39*$I$39)/12</f>
        <v>104500</v>
      </c>
      <c r="BM39" s="31">
        <f t="shared" ref="BM39:BR39" si="74">+($K$39*$I$39)/12</f>
        <v>104500</v>
      </c>
      <c r="BN39" s="31">
        <f t="shared" si="74"/>
        <v>104500</v>
      </c>
      <c r="BO39" s="31">
        <f t="shared" si="74"/>
        <v>104500</v>
      </c>
      <c r="BP39" s="31">
        <f t="shared" si="74"/>
        <v>104500</v>
      </c>
      <c r="BQ39" s="31">
        <f t="shared" si="74"/>
        <v>104500</v>
      </c>
      <c r="BR39" s="31">
        <f t="shared" si="74"/>
        <v>104500</v>
      </c>
      <c r="BS39" s="104">
        <f t="shared" si="72"/>
        <v>731500</v>
      </c>
      <c r="BT39" s="101">
        <f t="shared" si="73"/>
        <v>731500</v>
      </c>
      <c r="BU39" s="106">
        <f t="shared" si="43"/>
        <v>5538500</v>
      </c>
      <c r="CN39" s="21"/>
      <c r="DB39" s="21"/>
    </row>
    <row r="40" spans="2:106" ht="26.25" customHeight="1" thickBot="1" x14ac:dyDescent="0.35">
      <c r="B40" s="12" t="s">
        <v>150</v>
      </c>
      <c r="C40" s="64">
        <v>44323</v>
      </c>
      <c r="D40" s="13"/>
      <c r="E40" s="8"/>
      <c r="F40" s="10">
        <v>4178419</v>
      </c>
      <c r="G40" s="10"/>
      <c r="H40" s="39"/>
      <c r="I40" s="67">
        <v>0.2</v>
      </c>
      <c r="J40" s="10"/>
      <c r="K40" s="10">
        <f t="shared" si="56"/>
        <v>4178419</v>
      </c>
      <c r="L40" s="10"/>
      <c r="M40" s="10"/>
      <c r="O40" s="18"/>
      <c r="P40" s="18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18"/>
      <c r="AD40" s="19">
        <f t="shared" si="45"/>
        <v>4178419</v>
      </c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35"/>
      <c r="AR40" s="35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35"/>
      <c r="BF40" s="35"/>
      <c r="BG40" s="31"/>
      <c r="BH40" s="31"/>
      <c r="BI40" s="31"/>
      <c r="BJ40" s="31"/>
      <c r="BK40" s="31"/>
      <c r="BL40" s="31">
        <f>+($K$40*$I$40)/12</f>
        <v>69640.316666666666</v>
      </c>
      <c r="BM40" s="31">
        <f t="shared" ref="BM40:BR40" si="75">+($K$40*$I$40)/12</f>
        <v>69640.316666666666</v>
      </c>
      <c r="BN40" s="31">
        <f t="shared" si="75"/>
        <v>69640.316666666666</v>
      </c>
      <c r="BO40" s="31">
        <f t="shared" si="75"/>
        <v>69640.316666666666</v>
      </c>
      <c r="BP40" s="31">
        <f t="shared" si="75"/>
        <v>69640.316666666666</v>
      </c>
      <c r="BQ40" s="31">
        <f t="shared" si="75"/>
        <v>69640.316666666666</v>
      </c>
      <c r="BR40" s="31">
        <f t="shared" si="75"/>
        <v>69640.316666666666</v>
      </c>
      <c r="BS40" s="104">
        <f t="shared" ref="BS40:BS41" si="76">SUM(BG40:BR40)</f>
        <v>487482.21666666662</v>
      </c>
      <c r="BT40" s="101">
        <f t="shared" ref="BT40:BT41" si="77">+AQ40+BS40</f>
        <v>487482.21666666662</v>
      </c>
      <c r="BU40" s="106">
        <f t="shared" si="43"/>
        <v>3690936.7833333332</v>
      </c>
      <c r="CN40" s="21"/>
      <c r="DB40" s="21"/>
    </row>
    <row r="41" spans="2:106" ht="26.25" customHeight="1" thickBot="1" x14ac:dyDescent="0.35">
      <c r="B41" s="12" t="s">
        <v>151</v>
      </c>
      <c r="C41" s="64">
        <v>44326</v>
      </c>
      <c r="D41" s="13"/>
      <c r="E41" s="8"/>
      <c r="F41" s="10">
        <v>4700721</v>
      </c>
      <c r="G41" s="10"/>
      <c r="H41" s="39"/>
      <c r="I41" s="67">
        <v>0.2</v>
      </c>
      <c r="J41" s="10"/>
      <c r="K41" s="10">
        <f t="shared" si="56"/>
        <v>4700721</v>
      </c>
      <c r="L41" s="10"/>
      <c r="M41" s="10"/>
      <c r="O41" s="18"/>
      <c r="P41" s="18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18"/>
      <c r="AD41" s="19">
        <f t="shared" si="45"/>
        <v>4700721</v>
      </c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35"/>
      <c r="AR41" s="35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35"/>
      <c r="BF41" s="35"/>
      <c r="BG41" s="31"/>
      <c r="BH41" s="31"/>
      <c r="BI41" s="31"/>
      <c r="BJ41" s="31"/>
      <c r="BK41" s="31"/>
      <c r="BL41" s="31">
        <f>+($K$41*$I$41)/12</f>
        <v>78345.350000000006</v>
      </c>
      <c r="BM41" s="31">
        <f t="shared" ref="BM41:BR41" si="78">+($K$41*$I$41)/12</f>
        <v>78345.350000000006</v>
      </c>
      <c r="BN41" s="31">
        <f t="shared" si="78"/>
        <v>78345.350000000006</v>
      </c>
      <c r="BO41" s="31">
        <f t="shared" si="78"/>
        <v>78345.350000000006</v>
      </c>
      <c r="BP41" s="31">
        <f t="shared" si="78"/>
        <v>78345.350000000006</v>
      </c>
      <c r="BQ41" s="31">
        <f t="shared" si="78"/>
        <v>78345.350000000006</v>
      </c>
      <c r="BR41" s="31">
        <f t="shared" si="78"/>
        <v>78345.350000000006</v>
      </c>
      <c r="BS41" s="104">
        <f t="shared" si="76"/>
        <v>548417.44999999995</v>
      </c>
      <c r="BT41" s="101">
        <f t="shared" si="77"/>
        <v>548417.44999999995</v>
      </c>
      <c r="BU41" s="106">
        <f t="shared" si="43"/>
        <v>4152303.55</v>
      </c>
      <c r="CN41" s="21"/>
      <c r="DB41" s="21"/>
    </row>
    <row r="42" spans="2:106" ht="26.25" customHeight="1" thickBot="1" x14ac:dyDescent="0.35">
      <c r="B42" s="12" t="s">
        <v>152</v>
      </c>
      <c r="C42" s="64">
        <v>44796</v>
      </c>
      <c r="D42" s="13"/>
      <c r="E42" s="8"/>
      <c r="F42" s="10">
        <v>4578992</v>
      </c>
      <c r="G42" s="10">
        <v>870008</v>
      </c>
      <c r="H42" s="39"/>
      <c r="I42" s="67">
        <v>0.2</v>
      </c>
      <c r="J42" s="10"/>
      <c r="K42" s="10">
        <f t="shared" ref="K42:K44" si="79">F42+G42+H42</f>
        <v>5449000</v>
      </c>
      <c r="L42" s="10"/>
      <c r="M42" s="10"/>
      <c r="O42" s="18"/>
      <c r="P42" s="18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18"/>
      <c r="AD42" s="19">
        <f t="shared" si="45"/>
        <v>5449000</v>
      </c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35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31">
        <f>+($K$42*$I$42)/12</f>
        <v>90816.666666666672</v>
      </c>
      <c r="BP42" s="31">
        <f t="shared" ref="BP42:BR42" si="80">+($K$42*$I$42)/12</f>
        <v>90816.666666666672</v>
      </c>
      <c r="BQ42" s="31">
        <f t="shared" si="80"/>
        <v>90816.666666666672</v>
      </c>
      <c r="BR42" s="31">
        <f t="shared" si="80"/>
        <v>90816.666666666672</v>
      </c>
      <c r="BS42" s="104">
        <f t="shared" ref="BS42" si="81">SUM(BG42:BR42)</f>
        <v>363266.66666666669</v>
      </c>
      <c r="BT42" s="101">
        <f t="shared" ref="BT42" si="82">+AQ42+BS42</f>
        <v>363266.66666666669</v>
      </c>
      <c r="BU42" s="106">
        <f t="shared" si="43"/>
        <v>5085733.333333333</v>
      </c>
      <c r="CN42" s="21"/>
      <c r="DB42" s="21"/>
    </row>
    <row r="43" spans="2:106" ht="26.25" customHeight="1" thickBot="1" x14ac:dyDescent="0.35">
      <c r="B43" s="12" t="s">
        <v>152</v>
      </c>
      <c r="C43" s="64">
        <v>44796</v>
      </c>
      <c r="D43" s="13"/>
      <c r="E43" s="8"/>
      <c r="F43" s="10">
        <v>4578992</v>
      </c>
      <c r="G43" s="10">
        <v>870008</v>
      </c>
      <c r="H43" s="39"/>
      <c r="I43" s="67">
        <v>0.2</v>
      </c>
      <c r="J43" s="10"/>
      <c r="K43" s="10">
        <f>F43+G43+H43</f>
        <v>5449000</v>
      </c>
      <c r="L43" s="10"/>
      <c r="M43" s="10"/>
      <c r="O43" s="18"/>
      <c r="P43" s="18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18"/>
      <c r="AD43" s="19">
        <f t="shared" si="45"/>
        <v>5449000</v>
      </c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35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31">
        <f>+($K$43*$I$43)/12</f>
        <v>90816.666666666672</v>
      </c>
      <c r="BP43" s="31">
        <f t="shared" ref="BP43:BR43" si="83">+($K$43*$I$43)/12</f>
        <v>90816.666666666672</v>
      </c>
      <c r="BQ43" s="31">
        <f t="shared" si="83"/>
        <v>90816.666666666672</v>
      </c>
      <c r="BR43" s="31">
        <f t="shared" si="83"/>
        <v>90816.666666666672</v>
      </c>
      <c r="BS43" s="104">
        <f>SUM(BG43:BR43)</f>
        <v>363266.66666666669</v>
      </c>
      <c r="BT43" s="101">
        <f t="shared" ref="BT43:BT44" si="84">+AQ43+BS43</f>
        <v>363266.66666666669</v>
      </c>
      <c r="BU43" s="106">
        <f t="shared" si="43"/>
        <v>5085733.333333333</v>
      </c>
      <c r="CN43" s="21"/>
      <c r="DB43" s="21"/>
    </row>
    <row r="44" spans="2:106" ht="26.25" customHeight="1" thickBot="1" x14ac:dyDescent="0.35">
      <c r="B44" s="12" t="s">
        <v>154</v>
      </c>
      <c r="C44" s="64">
        <v>44859</v>
      </c>
      <c r="D44" s="13"/>
      <c r="E44" s="8"/>
      <c r="F44" s="10">
        <f>11596470/2</f>
        <v>5798235</v>
      </c>
      <c r="G44" s="10">
        <f>2203329.3/2</f>
        <v>1101664.6499999999</v>
      </c>
      <c r="H44" s="39"/>
      <c r="I44" s="67">
        <v>0.2</v>
      </c>
      <c r="J44" s="10"/>
      <c r="K44" s="10">
        <f t="shared" si="79"/>
        <v>6899899.6500000004</v>
      </c>
      <c r="L44" s="10"/>
      <c r="M44" s="10"/>
      <c r="O44" s="18"/>
      <c r="P44" s="18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18"/>
      <c r="AD44" s="19">
        <f t="shared" si="45"/>
        <v>6899899.6500000004</v>
      </c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35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31">
        <f>+($K$44*$I$44)/12</f>
        <v>114998.32750000001</v>
      </c>
      <c r="BR44" s="31">
        <f>+($K$44*$I$44)/12</f>
        <v>114998.32750000001</v>
      </c>
      <c r="BS44" s="104">
        <f>SUM(BG44:BR44)</f>
        <v>229996.65500000003</v>
      </c>
      <c r="BT44" s="101">
        <f t="shared" si="84"/>
        <v>229996.65500000003</v>
      </c>
      <c r="BU44" s="106">
        <f t="shared" si="43"/>
        <v>6669902.9950000001</v>
      </c>
      <c r="CN44" s="21"/>
      <c r="DB44" s="21"/>
    </row>
    <row r="45" spans="2:106" ht="26.25" customHeight="1" thickBot="1" x14ac:dyDescent="0.35">
      <c r="B45" s="12" t="s">
        <v>154</v>
      </c>
      <c r="C45" s="64">
        <v>44859</v>
      </c>
      <c r="D45" s="13"/>
      <c r="E45" s="8"/>
      <c r="F45" s="10">
        <f>11596470/2</f>
        <v>5798235</v>
      </c>
      <c r="G45" s="10">
        <f>2203329.3/2</f>
        <v>1101664.6499999999</v>
      </c>
      <c r="H45" s="39"/>
      <c r="I45" s="67">
        <v>0.2</v>
      </c>
      <c r="J45" s="10"/>
      <c r="K45" s="10">
        <f>F45+G45+H45</f>
        <v>6899899.6500000004</v>
      </c>
      <c r="L45" s="10"/>
      <c r="M45" s="10"/>
      <c r="O45" s="18"/>
      <c r="P45" s="18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18"/>
      <c r="AD45" s="19">
        <f t="shared" ref="AD45:AD48" si="85">K45-AC45</f>
        <v>6899899.6500000004</v>
      </c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35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31">
        <f>+($K$44*$I$44)/12</f>
        <v>114998.32750000001</v>
      </c>
      <c r="BR45" s="31">
        <f>+($K$44*$I$44)/12</f>
        <v>114998.32750000001</v>
      </c>
      <c r="BS45" s="104">
        <f t="shared" ref="BS45" si="86">SUM(BG45:BR45)</f>
        <v>229996.65500000003</v>
      </c>
      <c r="BT45" s="101">
        <f t="shared" ref="BT45" si="87">+AQ45+BS45</f>
        <v>229996.65500000003</v>
      </c>
      <c r="BU45" s="106">
        <f t="shared" ref="BU45" si="88">K45-BT45</f>
        <v>6669902.9950000001</v>
      </c>
      <c r="CN45" s="21"/>
      <c r="DB45" s="21"/>
    </row>
    <row r="46" spans="2:106" ht="26.25" customHeight="1" thickBot="1" x14ac:dyDescent="0.35">
      <c r="B46" s="12" t="s">
        <v>162</v>
      </c>
      <c r="C46" s="64">
        <v>44889</v>
      </c>
      <c r="D46" s="13" t="s">
        <v>163</v>
      </c>
      <c r="E46" s="8"/>
      <c r="F46" s="10">
        <v>2562941</v>
      </c>
      <c r="G46" s="10">
        <v>486958.79</v>
      </c>
      <c r="H46" s="39"/>
      <c r="I46" s="67">
        <v>0.2</v>
      </c>
      <c r="J46" s="10"/>
      <c r="K46" s="10">
        <f t="shared" ref="K46:K48" si="89">F46+G46+H46</f>
        <v>3049899.79</v>
      </c>
      <c r="L46" s="10"/>
      <c r="M46" s="10"/>
      <c r="O46" s="18"/>
      <c r="P46" s="18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8"/>
      <c r="AD46" s="19">
        <f t="shared" si="85"/>
        <v>3049899.79</v>
      </c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35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31">
        <f>+($K$46*$I$46)/12</f>
        <v>50831.663166666665</v>
      </c>
      <c r="BR46" s="31">
        <f>+($K$46*$I$46)/12</f>
        <v>50831.663166666665</v>
      </c>
      <c r="BS46" s="104">
        <f t="shared" ref="BS46" si="90">SUM(BG46:BR46)</f>
        <v>101663.32633333333</v>
      </c>
      <c r="BT46" s="101">
        <f t="shared" ref="BT46" si="91">+AQ46+BS46</f>
        <v>101663.32633333333</v>
      </c>
      <c r="BU46" s="106">
        <f t="shared" ref="BU46" si="92">K46-BT46</f>
        <v>2948236.4636666668</v>
      </c>
      <c r="CN46" s="21"/>
      <c r="DB46" s="21"/>
    </row>
    <row r="47" spans="2:106" ht="26.25" customHeight="1" thickBot="1" x14ac:dyDescent="0.35">
      <c r="B47" s="12" t="s">
        <v>162</v>
      </c>
      <c r="C47" s="64">
        <v>44889</v>
      </c>
      <c r="D47" s="13" t="s">
        <v>163</v>
      </c>
      <c r="E47" s="8"/>
      <c r="F47" s="10">
        <v>2562941</v>
      </c>
      <c r="G47" s="10">
        <v>486958.79</v>
      </c>
      <c r="H47" s="39"/>
      <c r="I47" s="67">
        <v>0.2</v>
      </c>
      <c r="J47" s="10"/>
      <c r="K47" s="10">
        <f t="shared" si="89"/>
        <v>3049899.79</v>
      </c>
      <c r="L47" s="10"/>
      <c r="M47" s="10"/>
      <c r="O47" s="18"/>
      <c r="P47" s="18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8"/>
      <c r="AD47" s="19">
        <f t="shared" si="85"/>
        <v>3049899.79</v>
      </c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35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31">
        <f>+($K$46*$I$46)/12</f>
        <v>50831.663166666665</v>
      </c>
      <c r="BR47" s="31">
        <f>+($K$46*$I$46)/12</f>
        <v>50831.663166666665</v>
      </c>
      <c r="BS47" s="104">
        <f t="shared" ref="BS47:BS48" si="93">SUM(BG47:BR47)</f>
        <v>101663.32633333333</v>
      </c>
      <c r="BT47" s="101">
        <f t="shared" ref="BT47:BT48" si="94">+AQ47+BS47</f>
        <v>101663.32633333333</v>
      </c>
      <c r="BU47" s="106">
        <f t="shared" ref="BU47:BU48" si="95">K47-BT47</f>
        <v>2948236.4636666668</v>
      </c>
      <c r="CN47" s="21"/>
      <c r="DB47" s="21"/>
    </row>
    <row r="48" spans="2:106" ht="26.25" customHeight="1" thickBot="1" x14ac:dyDescent="0.35">
      <c r="B48" s="12" t="s">
        <v>175</v>
      </c>
      <c r="C48" s="64">
        <v>44875</v>
      </c>
      <c r="D48" s="13" t="s">
        <v>176</v>
      </c>
      <c r="E48" s="8" t="s">
        <v>177</v>
      </c>
      <c r="F48" s="10">
        <v>6044081</v>
      </c>
      <c r="G48" s="10">
        <v>0</v>
      </c>
      <c r="H48" s="39"/>
      <c r="I48" s="67">
        <v>0.2</v>
      </c>
      <c r="J48" s="10"/>
      <c r="K48" s="10">
        <f t="shared" si="89"/>
        <v>6044081</v>
      </c>
      <c r="L48" s="10"/>
      <c r="M48" s="10"/>
      <c r="O48" s="18"/>
      <c r="P48" s="18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8"/>
      <c r="AD48" s="19">
        <f t="shared" si="85"/>
        <v>6044081</v>
      </c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35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31">
        <f>+($K$48*$I$48)/12</f>
        <v>100734.68333333333</v>
      </c>
      <c r="BR48" s="31">
        <f>+($K$48*$I$48)/12</f>
        <v>100734.68333333333</v>
      </c>
      <c r="BS48" s="104">
        <f t="shared" si="93"/>
        <v>201469.36666666667</v>
      </c>
      <c r="BT48" s="101">
        <f t="shared" si="94"/>
        <v>201469.36666666667</v>
      </c>
      <c r="BU48" s="106">
        <f t="shared" si="95"/>
        <v>5842611.6333333338</v>
      </c>
      <c r="CN48" s="21"/>
      <c r="DB48" s="21"/>
    </row>
    <row r="49" spans="1:106" ht="26.25" customHeight="1" x14ac:dyDescent="0.3">
      <c r="B49" s="66" t="s">
        <v>10</v>
      </c>
      <c r="C49" s="66"/>
      <c r="D49" s="66"/>
      <c r="E49" s="66"/>
      <c r="F49" s="11">
        <f>SUM(F28:F46)</f>
        <v>80372933.823529407</v>
      </c>
      <c r="G49" s="11">
        <f>SUM(G28:G45)</f>
        <v>7391764.4764705896</v>
      </c>
      <c r="H49" s="25">
        <f>SUM(H44:H44)</f>
        <v>0</v>
      </c>
      <c r="I49" s="32"/>
      <c r="J49" s="30"/>
      <c r="K49" s="11">
        <f>SUM(K28:K48)</f>
        <v>97345637.880000025</v>
      </c>
      <c r="L49" s="30"/>
      <c r="M49" s="11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29"/>
      <c r="AC49" s="29"/>
      <c r="AD49" s="11">
        <f>SUM(AD28:AD48)</f>
        <v>90835552.880000025</v>
      </c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11">
        <f t="shared" ref="AP49:BU49" si="96">SUM(AP28:AP45)</f>
        <v>611640.64999999991</v>
      </c>
      <c r="AQ49" s="11">
        <f>SUM(AQ28:AQ45)</f>
        <v>13645802.883333333</v>
      </c>
      <c r="AR49" s="11">
        <f>SUM(AR28:AR45)</f>
        <v>26409016.116666663</v>
      </c>
      <c r="AS49" s="11">
        <f t="shared" si="96"/>
        <v>360267</v>
      </c>
      <c r="AT49" s="11">
        <f t="shared" si="96"/>
        <v>360267</v>
      </c>
      <c r="AU49" s="11">
        <f t="shared" si="96"/>
        <v>423600.33333333331</v>
      </c>
      <c r="AV49" s="11">
        <f t="shared" si="96"/>
        <v>423600.33333333331</v>
      </c>
      <c r="AW49" s="11">
        <f t="shared" si="96"/>
        <v>488598.66666666663</v>
      </c>
      <c r="AX49" s="11">
        <f t="shared" si="96"/>
        <v>611640.64999999991</v>
      </c>
      <c r="AY49" s="11">
        <f t="shared" si="96"/>
        <v>611640.64999999991</v>
      </c>
      <c r="AZ49" s="11">
        <f t="shared" si="96"/>
        <v>611640.64999999991</v>
      </c>
      <c r="BA49" s="11">
        <f t="shared" si="96"/>
        <v>611640.64999999991</v>
      </c>
      <c r="BB49" s="11">
        <f t="shared" si="96"/>
        <v>611640.64999999991</v>
      </c>
      <c r="BC49" s="11">
        <f t="shared" si="96"/>
        <v>611640.64999999991</v>
      </c>
      <c r="BD49" s="11">
        <f t="shared" si="96"/>
        <v>611640.64999999991</v>
      </c>
      <c r="BE49" s="11">
        <f t="shared" si="96"/>
        <v>17425620.766666666</v>
      </c>
      <c r="BF49" s="11">
        <f t="shared" si="96"/>
        <v>8983395.3499999978</v>
      </c>
      <c r="BG49" s="11">
        <f>SUM(BG28:BG45)</f>
        <v>611648.64999999991</v>
      </c>
      <c r="BH49" s="11">
        <f>SUM(BH28:BH45)</f>
        <v>611648.64999999991</v>
      </c>
      <c r="BI49" s="11">
        <f t="shared" si="96"/>
        <v>611648.64999999991</v>
      </c>
      <c r="BJ49" s="11">
        <f t="shared" si="96"/>
        <v>611648.64999999991</v>
      </c>
      <c r="BK49" s="11">
        <f t="shared" si="96"/>
        <v>699981.96666666656</v>
      </c>
      <c r="BL49" s="11">
        <f t="shared" si="96"/>
        <v>952467.63333333319</v>
      </c>
      <c r="BM49" s="11">
        <f t="shared" si="96"/>
        <v>952467.63333333319</v>
      </c>
      <c r="BN49" s="11">
        <f t="shared" si="96"/>
        <v>952467.63333333319</v>
      </c>
      <c r="BO49" s="11">
        <f t="shared" si="96"/>
        <v>1134100.9666666666</v>
      </c>
      <c r="BP49" s="11">
        <f t="shared" si="96"/>
        <v>1134100.9666666666</v>
      </c>
      <c r="BQ49" s="11">
        <f>SUM(BQ28:BQ47)</f>
        <v>1465760.9479999999</v>
      </c>
      <c r="BR49" s="11">
        <f>SUM(BR28:BR47)</f>
        <v>1465760.9479999999</v>
      </c>
      <c r="BS49" s="11">
        <f t="shared" si="96"/>
        <v>11000376.643333329</v>
      </c>
      <c r="BT49" s="11">
        <f t="shared" si="96"/>
        <v>24646179.526666671</v>
      </c>
      <c r="BU49" s="11">
        <f t="shared" si="96"/>
        <v>60555577.773333326</v>
      </c>
      <c r="CN49" s="21"/>
      <c r="DB49" s="21"/>
    </row>
    <row r="50" spans="1:106" x14ac:dyDescent="0.3">
      <c r="F50" s="82">
        <f>+F45+G45</f>
        <v>6899899.6500000004</v>
      </c>
      <c r="AP50" s="20">
        <f>SUM(AE45:AP45)</f>
        <v>0</v>
      </c>
      <c r="BD50" s="20">
        <f>SUM(AS45:BD45)</f>
        <v>0</v>
      </c>
      <c r="BG50" s="20"/>
    </row>
    <row r="51" spans="1:106" x14ac:dyDescent="0.3">
      <c r="A51" s="1">
        <v>1540</v>
      </c>
      <c r="B51" s="5" t="s">
        <v>123</v>
      </c>
      <c r="CN51" s="21"/>
      <c r="DB51" s="21"/>
    </row>
    <row r="52" spans="1:106" ht="14.4" thickBot="1" x14ac:dyDescent="0.35">
      <c r="CN52" s="21"/>
      <c r="DB52" s="21"/>
    </row>
    <row r="53" spans="1:106" ht="13.5" customHeight="1" thickBot="1" x14ac:dyDescent="0.35">
      <c r="B53" s="236" t="s">
        <v>11</v>
      </c>
      <c r="C53" s="238" t="s">
        <v>0</v>
      </c>
      <c r="D53" s="27"/>
      <c r="E53" s="238" t="s">
        <v>1</v>
      </c>
      <c r="F53" s="240" t="s">
        <v>2</v>
      </c>
      <c r="G53" s="234" t="s">
        <v>3</v>
      </c>
      <c r="H53" s="234" t="s">
        <v>4</v>
      </c>
      <c r="I53" s="242" t="s">
        <v>5</v>
      </c>
      <c r="J53" s="240" t="s">
        <v>6</v>
      </c>
      <c r="K53" s="241" t="s">
        <v>7</v>
      </c>
      <c r="L53" s="232" t="s">
        <v>8</v>
      </c>
      <c r="M53" s="234" t="s">
        <v>9</v>
      </c>
      <c r="O53" s="229" t="s">
        <v>13</v>
      </c>
      <c r="P53" s="229" t="s">
        <v>14</v>
      </c>
      <c r="Q53" s="229">
        <v>43831</v>
      </c>
      <c r="R53" s="229">
        <v>43862</v>
      </c>
      <c r="S53" s="229">
        <v>43891</v>
      </c>
      <c r="T53" s="229">
        <v>43922</v>
      </c>
      <c r="U53" s="229">
        <v>43952</v>
      </c>
      <c r="V53" s="229">
        <v>43983</v>
      </c>
      <c r="W53" s="229">
        <v>44013</v>
      </c>
      <c r="X53" s="229">
        <v>44044</v>
      </c>
      <c r="Y53" s="229">
        <v>44075</v>
      </c>
      <c r="Z53" s="229">
        <v>44105</v>
      </c>
      <c r="AA53" s="229">
        <v>44136</v>
      </c>
      <c r="AB53" s="229">
        <v>44166</v>
      </c>
      <c r="AC53" s="229" t="s">
        <v>14</v>
      </c>
      <c r="AD53" s="41"/>
      <c r="AE53" s="229">
        <v>44197</v>
      </c>
      <c r="AF53" s="229">
        <v>44228</v>
      </c>
      <c r="AG53" s="229">
        <v>44256</v>
      </c>
      <c r="AH53" s="229">
        <v>44287</v>
      </c>
      <c r="AI53" s="229">
        <v>44317</v>
      </c>
      <c r="AJ53" s="229">
        <v>44348</v>
      </c>
      <c r="AK53" s="229">
        <v>44378</v>
      </c>
      <c r="AL53" s="229">
        <v>44409</v>
      </c>
      <c r="AM53" s="229">
        <v>44440</v>
      </c>
      <c r="AN53" s="229">
        <v>44470</v>
      </c>
      <c r="AO53" s="229">
        <v>44501</v>
      </c>
      <c r="AP53" s="229">
        <v>44531</v>
      </c>
      <c r="AQ53" s="229" t="s">
        <v>13</v>
      </c>
      <c r="AR53" s="229" t="s">
        <v>14</v>
      </c>
      <c r="AS53" s="229">
        <v>44197</v>
      </c>
      <c r="AT53" s="229">
        <v>44228</v>
      </c>
      <c r="AU53" s="229">
        <v>44256</v>
      </c>
      <c r="AV53" s="229">
        <v>44287</v>
      </c>
      <c r="AW53" s="229">
        <v>44317</v>
      </c>
      <c r="AX53" s="229">
        <v>44348</v>
      </c>
      <c r="AY53" s="229">
        <v>44378</v>
      </c>
      <c r="AZ53" s="229">
        <v>44409</v>
      </c>
      <c r="BA53" s="229">
        <v>44440</v>
      </c>
      <c r="BB53" s="229">
        <v>44470</v>
      </c>
      <c r="BC53" s="229">
        <v>44501</v>
      </c>
      <c r="BD53" s="229">
        <v>44531</v>
      </c>
      <c r="BE53" s="229" t="s">
        <v>13</v>
      </c>
      <c r="BF53" s="229" t="s">
        <v>14</v>
      </c>
      <c r="BG53" s="229">
        <v>44562</v>
      </c>
      <c r="BH53" s="229">
        <v>44593</v>
      </c>
      <c r="BI53" s="229">
        <v>44621</v>
      </c>
      <c r="BJ53" s="229">
        <v>44652</v>
      </c>
      <c r="BK53" s="229">
        <v>44682</v>
      </c>
      <c r="BL53" s="229">
        <v>44713</v>
      </c>
      <c r="BM53" s="229">
        <v>44743</v>
      </c>
      <c r="BN53" s="229">
        <v>44774</v>
      </c>
      <c r="BO53" s="229">
        <v>44805</v>
      </c>
      <c r="BP53" s="229">
        <v>44835</v>
      </c>
      <c r="BQ53" s="229">
        <v>44866</v>
      </c>
      <c r="BR53" s="229">
        <v>44896</v>
      </c>
      <c r="BS53" s="229" t="s">
        <v>145</v>
      </c>
      <c r="BT53" s="229" t="s">
        <v>146</v>
      </c>
      <c r="BU53" s="229" t="s">
        <v>14</v>
      </c>
      <c r="CN53" s="21"/>
      <c r="DB53" s="21"/>
    </row>
    <row r="54" spans="1:106" ht="27" customHeight="1" thickBot="1" x14ac:dyDescent="0.35">
      <c r="B54" s="237"/>
      <c r="C54" s="239"/>
      <c r="D54" s="28" t="s">
        <v>16</v>
      </c>
      <c r="E54" s="239"/>
      <c r="F54" s="241"/>
      <c r="G54" s="235"/>
      <c r="H54" s="235"/>
      <c r="I54" s="243"/>
      <c r="J54" s="240"/>
      <c r="K54" s="244"/>
      <c r="L54" s="233"/>
      <c r="M54" s="235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40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0"/>
      <c r="AR54" s="230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CN54" s="21"/>
      <c r="DB54" s="21"/>
    </row>
    <row r="55" spans="1:106" ht="50.25" customHeight="1" thickBot="1" x14ac:dyDescent="0.35">
      <c r="B55" s="12" t="s">
        <v>124</v>
      </c>
      <c r="C55" s="64">
        <v>44537</v>
      </c>
      <c r="D55" s="13" t="s">
        <v>119</v>
      </c>
      <c r="E55" s="8" t="s">
        <v>125</v>
      </c>
      <c r="F55" s="10">
        <v>11810237</v>
      </c>
      <c r="G55" s="10">
        <v>2243945</v>
      </c>
      <c r="H55" s="39">
        <v>0</v>
      </c>
      <c r="I55" s="67">
        <v>0.1</v>
      </c>
      <c r="J55" s="10">
        <v>10</v>
      </c>
      <c r="K55" s="10">
        <f>F55+G55+H55</f>
        <v>14054182</v>
      </c>
      <c r="L55" s="10"/>
      <c r="M55" s="10">
        <v>0</v>
      </c>
      <c r="O55" s="36">
        <v>0</v>
      </c>
      <c r="P55" s="36">
        <f>K55-O55</f>
        <v>14054182</v>
      </c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C55" s="36">
        <f>SUM(Q55:AB55)+O55</f>
        <v>0</v>
      </c>
      <c r="AD55" s="19">
        <f>K55-AC55</f>
        <v>14054182</v>
      </c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>
        <f>$K$55*$I$55/12</f>
        <v>117118.18333333335</v>
      </c>
      <c r="AQ55" s="37">
        <f>SUM(AE55:AP55)+AC55</f>
        <v>117118.18333333335</v>
      </c>
      <c r="AR55" s="37">
        <f>AD55-AQ55</f>
        <v>13937063.816666666</v>
      </c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>
        <f>$K$55*$I$55/12</f>
        <v>117118.18333333335</v>
      </c>
      <c r="BE55" s="37">
        <f>SUM(AS55:BD55)+AQ55</f>
        <v>234236.3666666667</v>
      </c>
      <c r="BF55" s="37">
        <f>AR55-BE55</f>
        <v>13702827.449999999</v>
      </c>
      <c r="BG55" s="95">
        <f>+($K$55*$I$55)/12</f>
        <v>117118.18333333335</v>
      </c>
      <c r="BH55" s="95">
        <f t="shared" ref="BH55:BR55" si="97">+($K$55*$I$55)/12</f>
        <v>117118.18333333335</v>
      </c>
      <c r="BI55" s="95">
        <f t="shared" si="97"/>
        <v>117118.18333333335</v>
      </c>
      <c r="BJ55" s="95">
        <f t="shared" si="97"/>
        <v>117118.18333333335</v>
      </c>
      <c r="BK55" s="95">
        <f t="shared" si="97"/>
        <v>117118.18333333335</v>
      </c>
      <c r="BL55" s="95">
        <f t="shared" si="97"/>
        <v>117118.18333333335</v>
      </c>
      <c r="BM55" s="95">
        <f t="shared" si="97"/>
        <v>117118.18333333335</v>
      </c>
      <c r="BN55" s="95">
        <f t="shared" si="97"/>
        <v>117118.18333333335</v>
      </c>
      <c r="BO55" s="95">
        <f t="shared" si="97"/>
        <v>117118.18333333335</v>
      </c>
      <c r="BP55" s="95">
        <f t="shared" si="97"/>
        <v>117118.18333333335</v>
      </c>
      <c r="BQ55" s="95">
        <f t="shared" si="97"/>
        <v>117118.18333333335</v>
      </c>
      <c r="BR55" s="108">
        <f t="shared" si="97"/>
        <v>117118.18333333335</v>
      </c>
      <c r="BS55" s="102">
        <f t="shared" ref="BS55" si="98">SUM(BG55:BR55)</f>
        <v>1405418.2000000002</v>
      </c>
      <c r="BT55" s="105">
        <f t="shared" ref="BT55" si="99">+AQ55+BS55</f>
        <v>1522536.3833333335</v>
      </c>
      <c r="BU55" s="106">
        <f>+F55-BT55</f>
        <v>10287700.616666667</v>
      </c>
      <c r="CN55" s="21"/>
      <c r="DB55" s="21"/>
    </row>
    <row r="56" spans="1:106" ht="26.25" customHeight="1" thickBot="1" x14ac:dyDescent="0.35">
      <c r="B56" s="12" t="s">
        <v>155</v>
      </c>
      <c r="C56" s="64">
        <v>44870</v>
      </c>
      <c r="D56" s="13" t="s">
        <v>156</v>
      </c>
      <c r="E56" s="8" t="s">
        <v>157</v>
      </c>
      <c r="F56" s="10">
        <v>11409449</v>
      </c>
      <c r="G56" s="10">
        <f>2167795+912756</f>
        <v>3080551</v>
      </c>
      <c r="H56" s="39"/>
      <c r="I56" s="67">
        <v>0.1</v>
      </c>
      <c r="J56" s="10">
        <v>10</v>
      </c>
      <c r="K56" s="10">
        <f>F56+G56+H56</f>
        <v>14490000</v>
      </c>
      <c r="L56" s="10"/>
      <c r="M56" s="10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108">
        <f>+($K$56*$I$56)/12</f>
        <v>120750</v>
      </c>
      <c r="BR56" s="108">
        <f>+($K$56*$I$56)/12</f>
        <v>120750</v>
      </c>
      <c r="BS56" s="102">
        <f t="shared" ref="BS56" si="100">SUM(BG56:BR56)</f>
        <v>241500</v>
      </c>
      <c r="BT56" s="105">
        <f t="shared" ref="BT56" si="101">+AQ56+BS56</f>
        <v>241500</v>
      </c>
      <c r="BU56" s="106">
        <f>+F56-BT56</f>
        <v>11167949</v>
      </c>
      <c r="CN56" s="21"/>
      <c r="DB56" s="21"/>
    </row>
    <row r="57" spans="1:106" ht="26.25" customHeight="1" thickBot="1" x14ac:dyDescent="0.35">
      <c r="B57" s="12"/>
      <c r="C57" s="64"/>
      <c r="D57" s="13"/>
      <c r="E57" s="8"/>
      <c r="F57" s="10"/>
      <c r="G57" s="10"/>
      <c r="H57" s="39"/>
      <c r="I57" s="67"/>
      <c r="J57" s="10"/>
      <c r="K57" s="10"/>
      <c r="L57" s="10"/>
      <c r="M57" s="10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142"/>
      <c r="BG57" s="143"/>
      <c r="BH57" s="144"/>
      <c r="BI57" s="144"/>
      <c r="BJ57" s="144"/>
      <c r="BK57" s="144"/>
      <c r="BL57" s="144"/>
      <c r="BM57" s="144"/>
      <c r="BN57" s="144"/>
      <c r="BO57" s="144"/>
      <c r="BP57" s="144"/>
      <c r="BQ57" s="145"/>
      <c r="BR57" s="145"/>
      <c r="BS57" s="146"/>
      <c r="BT57" s="20"/>
      <c r="BU57" s="147"/>
      <c r="CN57" s="21"/>
      <c r="DB57" s="21"/>
    </row>
    <row r="58" spans="1:106" ht="17.25" customHeight="1" thickBot="1" x14ac:dyDescent="0.35">
      <c r="B58" s="66" t="s">
        <v>10</v>
      </c>
      <c r="C58" s="66"/>
      <c r="D58" s="66"/>
      <c r="E58" s="66"/>
      <c r="F58" s="11">
        <f>SUM(F55:F55)</f>
        <v>11810237</v>
      </c>
      <c r="G58" s="30">
        <f>SUM(G55:G55)</f>
        <v>2243945</v>
      </c>
      <c r="H58" s="25">
        <f>SUM(H55:H55)</f>
        <v>0</v>
      </c>
      <c r="I58" s="32"/>
      <c r="J58" s="30"/>
      <c r="K58" s="11">
        <f>SUM(K55:K55)</f>
        <v>14054182</v>
      </c>
      <c r="L58" s="30"/>
      <c r="M58" s="11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79">
        <f>SUM(AP55:AP56)</f>
        <v>117118.18333333335</v>
      </c>
      <c r="AQ58" s="79">
        <f t="shared" ref="AQ58:AR58" si="102">SUM(AQ55:AQ56)</f>
        <v>117118.18333333335</v>
      </c>
      <c r="AR58" s="79">
        <f t="shared" si="102"/>
        <v>13937063.816666666</v>
      </c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79">
        <f>SUM(BD55:BD56)</f>
        <v>117118.18333333335</v>
      </c>
      <c r="BE58" s="79">
        <f t="shared" ref="BE58:BF58" si="103">SUM(BE55:BE56)</f>
        <v>234236.3666666667</v>
      </c>
      <c r="BF58" s="112">
        <f t="shared" si="103"/>
        <v>13702827.449999999</v>
      </c>
      <c r="BG58" s="113">
        <f>SUM(BG55)</f>
        <v>117118.18333333335</v>
      </c>
      <c r="BH58" s="114">
        <f t="shared" ref="BH58:BP58" si="104">SUM(BH55)</f>
        <v>117118.18333333335</v>
      </c>
      <c r="BI58" s="114">
        <f t="shared" si="104"/>
        <v>117118.18333333335</v>
      </c>
      <c r="BJ58" s="114">
        <f t="shared" si="104"/>
        <v>117118.18333333335</v>
      </c>
      <c r="BK58" s="114">
        <f t="shared" si="104"/>
        <v>117118.18333333335</v>
      </c>
      <c r="BL58" s="114">
        <f t="shared" si="104"/>
        <v>117118.18333333335</v>
      </c>
      <c r="BM58" s="114">
        <f t="shared" si="104"/>
        <v>117118.18333333335</v>
      </c>
      <c r="BN58" s="114">
        <f t="shared" si="104"/>
        <v>117118.18333333335</v>
      </c>
      <c r="BO58" s="114">
        <f t="shared" si="104"/>
        <v>117118.18333333335</v>
      </c>
      <c r="BP58" s="114">
        <f t="shared" si="104"/>
        <v>117118.18333333335</v>
      </c>
      <c r="BQ58" s="114">
        <f>SUM(BQ55:BQ56)</f>
        <v>237868.18333333335</v>
      </c>
      <c r="BR58" s="115">
        <f>SUM(BR55:BR56)</f>
        <v>237868.18333333335</v>
      </c>
      <c r="BS58" s="115">
        <f>SUM(BS55:BS56)</f>
        <v>1646918.2000000002</v>
      </c>
      <c r="BT58" s="115">
        <f t="shared" ref="BT58" si="105">SUM(BT55:BT56)</f>
        <v>1764036.3833333335</v>
      </c>
      <c r="BU58" s="115">
        <f>SUM(BU55:BU56)</f>
        <v>21455649.616666667</v>
      </c>
      <c r="CN58" s="21"/>
      <c r="DB58" s="21"/>
    </row>
    <row r="59" spans="1:106" ht="17.25" customHeight="1" x14ac:dyDescent="0.3">
      <c r="B59" s="133"/>
      <c r="C59" s="133"/>
      <c r="D59" s="133"/>
      <c r="E59" s="133"/>
      <c r="F59" s="134"/>
      <c r="G59" s="135"/>
      <c r="H59" s="136"/>
      <c r="I59" s="137"/>
      <c r="J59" s="135"/>
      <c r="K59" s="134"/>
      <c r="L59" s="135"/>
      <c r="M59" s="1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P59" s="138"/>
      <c r="AQ59" s="138"/>
      <c r="AR59" s="138"/>
      <c r="BD59" s="138"/>
      <c r="BE59" s="138"/>
      <c r="BF59" s="138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CN59" s="21"/>
      <c r="DB59" s="21"/>
    </row>
    <row r="60" spans="1:106" ht="17.25" customHeight="1" x14ac:dyDescent="0.3">
      <c r="B60" s="133"/>
      <c r="C60" s="133"/>
      <c r="D60" s="133"/>
      <c r="E60" s="133"/>
      <c r="F60" s="134"/>
      <c r="G60" s="135"/>
      <c r="H60" s="136"/>
      <c r="I60" s="137"/>
      <c r="J60" s="135"/>
      <c r="K60" s="134"/>
      <c r="L60" s="135"/>
      <c r="M60" s="1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P60" s="138"/>
      <c r="AQ60" s="138"/>
      <c r="AR60" s="138"/>
      <c r="BD60" s="138"/>
      <c r="BE60" s="138"/>
      <c r="BF60" s="138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CN60" s="21"/>
      <c r="DB60" s="21"/>
    </row>
    <row r="61" spans="1:106" x14ac:dyDescent="0.3">
      <c r="B61" s="140" t="s">
        <v>158</v>
      </c>
    </row>
    <row r="62" spans="1:106" ht="14.4" thickBot="1" x14ac:dyDescent="0.35"/>
    <row r="63" spans="1:106" ht="13.5" customHeight="1" thickBot="1" x14ac:dyDescent="0.35">
      <c r="B63" s="236" t="s">
        <v>11</v>
      </c>
      <c r="C63" s="238" t="s">
        <v>0</v>
      </c>
      <c r="D63" s="27"/>
      <c r="E63" s="238" t="s">
        <v>1</v>
      </c>
      <c r="F63" s="240" t="s">
        <v>2</v>
      </c>
      <c r="G63" s="234" t="s">
        <v>3</v>
      </c>
      <c r="H63" s="234" t="s">
        <v>4</v>
      </c>
      <c r="I63" s="242" t="s">
        <v>5</v>
      </c>
      <c r="J63" s="240" t="s">
        <v>6</v>
      </c>
      <c r="K63" s="241" t="s">
        <v>7</v>
      </c>
      <c r="L63" s="232" t="s">
        <v>8</v>
      </c>
      <c r="M63" s="234" t="s">
        <v>9</v>
      </c>
      <c r="O63" s="229" t="s">
        <v>13</v>
      </c>
      <c r="P63" s="229" t="s">
        <v>14</v>
      </c>
      <c r="Q63" s="229">
        <v>43831</v>
      </c>
      <c r="R63" s="229">
        <v>43862</v>
      </c>
      <c r="S63" s="229">
        <v>43891</v>
      </c>
      <c r="T63" s="229">
        <v>43922</v>
      </c>
      <c r="U63" s="229">
        <v>43952</v>
      </c>
      <c r="V63" s="229">
        <v>43983</v>
      </c>
      <c r="W63" s="229">
        <v>44013</v>
      </c>
      <c r="X63" s="229">
        <v>44044</v>
      </c>
      <c r="Y63" s="229">
        <v>44075</v>
      </c>
      <c r="Z63" s="229">
        <v>44105</v>
      </c>
      <c r="AA63" s="229">
        <v>44136</v>
      </c>
      <c r="AB63" s="229">
        <v>44166</v>
      </c>
      <c r="AC63" s="229" t="s">
        <v>14</v>
      </c>
      <c r="AD63" s="41"/>
      <c r="AE63" s="229">
        <v>44197</v>
      </c>
      <c r="AF63" s="229">
        <v>44228</v>
      </c>
      <c r="AG63" s="229">
        <v>44256</v>
      </c>
      <c r="AH63" s="229">
        <v>44287</v>
      </c>
      <c r="AI63" s="229">
        <v>44317</v>
      </c>
      <c r="AJ63" s="229">
        <v>44348</v>
      </c>
      <c r="AK63" s="229">
        <v>44378</v>
      </c>
      <c r="AL63" s="229">
        <v>44409</v>
      </c>
      <c r="AM63" s="229">
        <v>44440</v>
      </c>
      <c r="AN63" s="229">
        <v>44470</v>
      </c>
      <c r="AO63" s="229">
        <v>44501</v>
      </c>
      <c r="AP63" s="229">
        <v>44531</v>
      </c>
      <c r="AQ63" s="229" t="s">
        <v>13</v>
      </c>
      <c r="AR63" s="229" t="s">
        <v>14</v>
      </c>
      <c r="AS63" s="229">
        <v>44197</v>
      </c>
      <c r="AT63" s="229">
        <v>44228</v>
      </c>
      <c r="AU63" s="229">
        <v>44256</v>
      </c>
      <c r="AV63" s="229">
        <v>44287</v>
      </c>
      <c r="AW63" s="229">
        <v>44317</v>
      </c>
      <c r="AX63" s="229">
        <v>44348</v>
      </c>
      <c r="AY63" s="229">
        <v>44378</v>
      </c>
      <c r="AZ63" s="229">
        <v>44409</v>
      </c>
      <c r="BA63" s="229">
        <v>44440</v>
      </c>
      <c r="BB63" s="229">
        <v>44470</v>
      </c>
      <c r="BC63" s="229">
        <v>44501</v>
      </c>
      <c r="BD63" s="229">
        <v>44531</v>
      </c>
      <c r="BE63" s="229" t="s">
        <v>13</v>
      </c>
      <c r="BF63" s="229" t="s">
        <v>14</v>
      </c>
      <c r="BG63" s="229">
        <v>44562</v>
      </c>
      <c r="BH63" s="229">
        <v>44593</v>
      </c>
      <c r="BI63" s="229">
        <v>44621</v>
      </c>
      <c r="BJ63" s="229">
        <v>44652</v>
      </c>
      <c r="BK63" s="229">
        <v>44682</v>
      </c>
      <c r="BL63" s="229">
        <v>44713</v>
      </c>
      <c r="BM63" s="229">
        <v>44743</v>
      </c>
      <c r="BN63" s="229">
        <v>44774</v>
      </c>
      <c r="BO63" s="229">
        <v>44805</v>
      </c>
      <c r="BP63" s="229">
        <v>44835</v>
      </c>
      <c r="BQ63" s="229">
        <v>44866</v>
      </c>
      <c r="BR63" s="229">
        <v>44896</v>
      </c>
      <c r="BS63" s="229" t="s">
        <v>145</v>
      </c>
      <c r="BT63" s="229" t="s">
        <v>146</v>
      </c>
      <c r="BU63" s="229" t="s">
        <v>14</v>
      </c>
      <c r="CN63" s="21"/>
      <c r="DB63" s="21"/>
    </row>
    <row r="64" spans="1:106" ht="27" customHeight="1" thickBot="1" x14ac:dyDescent="0.35">
      <c r="B64" s="237"/>
      <c r="C64" s="239"/>
      <c r="D64" s="28" t="s">
        <v>16</v>
      </c>
      <c r="E64" s="239"/>
      <c r="F64" s="241"/>
      <c r="G64" s="235"/>
      <c r="H64" s="235"/>
      <c r="I64" s="243"/>
      <c r="J64" s="240"/>
      <c r="K64" s="244"/>
      <c r="L64" s="233"/>
      <c r="M64" s="235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40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0"/>
      <c r="AR64" s="230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0"/>
      <c r="BF64" s="230"/>
      <c r="BG64" s="230"/>
      <c r="BH64" s="230"/>
      <c r="BI64" s="230"/>
      <c r="BJ64" s="230"/>
      <c r="BK64" s="230"/>
      <c r="BL64" s="230"/>
      <c r="BM64" s="230"/>
      <c r="BN64" s="230"/>
      <c r="BO64" s="230"/>
      <c r="BP64" s="230"/>
      <c r="BQ64" s="230"/>
      <c r="BR64" s="230"/>
      <c r="BS64" s="230"/>
      <c r="BT64" s="230"/>
      <c r="BU64" s="230"/>
      <c r="CN64" s="21"/>
      <c r="DB64" s="21"/>
    </row>
    <row r="65" spans="2:106" ht="50.25" customHeight="1" thickBot="1" x14ac:dyDescent="0.35">
      <c r="B65" s="12" t="s">
        <v>159</v>
      </c>
      <c r="C65" s="64">
        <v>44887</v>
      </c>
      <c r="D65" s="13" t="s">
        <v>160</v>
      </c>
      <c r="E65" s="8" t="s">
        <v>161</v>
      </c>
      <c r="F65" s="10">
        <f>1255386+1966310</f>
        <v>3221696</v>
      </c>
      <c r="G65" s="10">
        <v>612122</v>
      </c>
      <c r="H65" s="39">
        <v>0</v>
      </c>
      <c r="I65" s="67">
        <v>0.1</v>
      </c>
      <c r="J65" s="10">
        <v>10</v>
      </c>
      <c r="K65" s="10">
        <f>F65+G65+H65</f>
        <v>3833818</v>
      </c>
      <c r="L65" s="10"/>
      <c r="M65" s="10">
        <v>0</v>
      </c>
      <c r="O65" s="36">
        <v>0</v>
      </c>
      <c r="P65" s="36">
        <f>K65-O65</f>
        <v>3833818</v>
      </c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C65" s="36">
        <f>SUM(Q65:AB65)+O65</f>
        <v>0</v>
      </c>
      <c r="AD65" s="19">
        <f>K65-AC65</f>
        <v>3833818</v>
      </c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>
        <f>$K$55*$I$55/12</f>
        <v>117118.18333333335</v>
      </c>
      <c r="AQ65" s="37">
        <v>0</v>
      </c>
      <c r="AR65" s="37">
        <f>AD65-AQ65</f>
        <v>3833818</v>
      </c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>
        <f>$K$55*$I$55/12</f>
        <v>117118.18333333335</v>
      </c>
      <c r="BE65" s="37">
        <f>SUM(AS65:BD65)+AQ65</f>
        <v>117118.18333333335</v>
      </c>
      <c r="BF65" s="37">
        <f>AR65-BE65</f>
        <v>3716699.8166666664</v>
      </c>
      <c r="BG65" s="95">
        <f t="shared" ref="BG65:BP65" si="106">+($K$55*$I$55)/12</f>
        <v>117118.18333333335</v>
      </c>
      <c r="BH65" s="95">
        <f t="shared" si="106"/>
        <v>117118.18333333335</v>
      </c>
      <c r="BI65" s="95">
        <f t="shared" si="106"/>
        <v>117118.18333333335</v>
      </c>
      <c r="BJ65" s="95">
        <f t="shared" si="106"/>
        <v>117118.18333333335</v>
      </c>
      <c r="BK65" s="95">
        <f t="shared" si="106"/>
        <v>117118.18333333335</v>
      </c>
      <c r="BL65" s="95">
        <f t="shared" si="106"/>
        <v>117118.18333333335</v>
      </c>
      <c r="BM65" s="95">
        <f t="shared" si="106"/>
        <v>117118.18333333335</v>
      </c>
      <c r="BN65" s="95">
        <f t="shared" si="106"/>
        <v>117118.18333333335</v>
      </c>
      <c r="BO65" s="95">
        <f t="shared" si="106"/>
        <v>117118.18333333335</v>
      </c>
      <c r="BP65" s="95">
        <f t="shared" si="106"/>
        <v>117118.18333333335</v>
      </c>
      <c r="BQ65" s="95">
        <f>+((($K$65*$I$65)/12)/30)*8</f>
        <v>8519.5955555555574</v>
      </c>
      <c r="BR65" s="95">
        <f>+((($K$65*$I$65)/12))</f>
        <v>31948.483333333337</v>
      </c>
      <c r="BS65" s="102">
        <f>SUM(BG65:BR65)</f>
        <v>1211649.9122222224</v>
      </c>
      <c r="BT65" s="105">
        <f t="shared" ref="BT65" si="107">+AQ65+BS65</f>
        <v>1211649.9122222224</v>
      </c>
      <c r="BU65" s="106">
        <f>+F65-BT65</f>
        <v>2010046.0877777776</v>
      </c>
      <c r="CN65" s="21"/>
      <c r="DB65" s="21"/>
    </row>
    <row r="66" spans="2:106" ht="50.25" customHeight="1" thickBot="1" x14ac:dyDescent="0.35">
      <c r="B66" s="12" t="s">
        <v>168</v>
      </c>
      <c r="C66" s="64">
        <v>44895</v>
      </c>
      <c r="D66" s="13" t="s">
        <v>170</v>
      </c>
      <c r="E66" s="8" t="s">
        <v>169</v>
      </c>
      <c r="F66" s="10">
        <v>9660000</v>
      </c>
      <c r="G66" s="10">
        <v>0</v>
      </c>
      <c r="H66" s="151" t="s">
        <v>171</v>
      </c>
      <c r="I66" s="67">
        <v>0.1</v>
      </c>
      <c r="J66" s="10">
        <v>10</v>
      </c>
      <c r="K66" s="10">
        <f>+F66+G66</f>
        <v>9660000</v>
      </c>
      <c r="L66" s="10"/>
      <c r="M66" s="10"/>
      <c r="O66" s="36">
        <v>0</v>
      </c>
      <c r="P66" s="36">
        <f>+K66-O66</f>
        <v>9660000</v>
      </c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C66" s="36"/>
      <c r="AD66" s="19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7">
        <v>0</v>
      </c>
      <c r="AR66" s="37">
        <f>AD66-AQ66</f>
        <v>0</v>
      </c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7"/>
      <c r="BF66" s="148"/>
      <c r="BG66" s="149"/>
      <c r="BH66" s="150"/>
      <c r="BI66" s="150"/>
      <c r="BJ66" s="150"/>
      <c r="BK66" s="150"/>
      <c r="BL66" s="150"/>
      <c r="BM66" s="150"/>
      <c r="BN66" s="150"/>
      <c r="BO66" s="150"/>
      <c r="BP66" s="150"/>
      <c r="BQ66" s="150">
        <v>0</v>
      </c>
      <c r="BR66" s="145"/>
      <c r="BS66" s="146"/>
      <c r="BT66" s="20"/>
      <c r="BU66" s="147"/>
      <c r="CN66" s="21"/>
      <c r="DB66" s="21"/>
    </row>
    <row r="67" spans="2:106" ht="17.25" customHeight="1" thickBot="1" x14ac:dyDescent="0.35">
      <c r="B67" s="66" t="s">
        <v>10</v>
      </c>
      <c r="C67" s="66"/>
      <c r="D67" s="66"/>
      <c r="E67" s="66"/>
      <c r="F67" s="11">
        <f>SUM(F65:F65)</f>
        <v>3221696</v>
      </c>
      <c r="G67" s="30">
        <f>SUM(G65:G65)</f>
        <v>612122</v>
      </c>
      <c r="H67" s="25">
        <f>SUM(H65:H65)</f>
        <v>0</v>
      </c>
      <c r="I67" s="32"/>
      <c r="J67" s="30"/>
      <c r="K67" s="11">
        <f>SUM(K65:K65)</f>
        <v>3833818</v>
      </c>
      <c r="L67" s="30"/>
      <c r="M67" s="11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79">
        <f>SUM(AP65:AP65)</f>
        <v>117118.18333333335</v>
      </c>
      <c r="AQ67" s="79">
        <f>SUM(AQ65:AQ65)</f>
        <v>0</v>
      </c>
      <c r="AR67" s="79">
        <f>SUM(AR65:AR65)</f>
        <v>3833818</v>
      </c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79">
        <f>SUM(BD65:BD65)</f>
        <v>117118.18333333335</v>
      </c>
      <c r="BE67" s="79">
        <f>SUM(BE65:BE65)</f>
        <v>117118.18333333335</v>
      </c>
      <c r="BF67" s="112">
        <f>SUM(BF65:BF65)</f>
        <v>3716699.8166666664</v>
      </c>
      <c r="BG67" s="113">
        <f t="shared" ref="BG67:BQ67" si="108">SUM(BG65)</f>
        <v>117118.18333333335</v>
      </c>
      <c r="BH67" s="114">
        <f t="shared" si="108"/>
        <v>117118.18333333335</v>
      </c>
      <c r="BI67" s="114">
        <f t="shared" si="108"/>
        <v>117118.18333333335</v>
      </c>
      <c r="BJ67" s="114">
        <f t="shared" si="108"/>
        <v>117118.18333333335</v>
      </c>
      <c r="BK67" s="114">
        <f t="shared" si="108"/>
        <v>117118.18333333335</v>
      </c>
      <c r="BL67" s="114">
        <f t="shared" si="108"/>
        <v>117118.18333333335</v>
      </c>
      <c r="BM67" s="114">
        <f t="shared" si="108"/>
        <v>117118.18333333335</v>
      </c>
      <c r="BN67" s="114">
        <f t="shared" si="108"/>
        <v>117118.18333333335</v>
      </c>
      <c r="BO67" s="114">
        <f t="shared" si="108"/>
        <v>117118.18333333335</v>
      </c>
      <c r="BP67" s="114">
        <f t="shared" si="108"/>
        <v>117118.18333333335</v>
      </c>
      <c r="BQ67" s="114">
        <f t="shared" si="108"/>
        <v>8519.5955555555574</v>
      </c>
      <c r="BR67" s="115">
        <f>SUM(BR65:BR65)</f>
        <v>31948.483333333337</v>
      </c>
      <c r="BS67" s="115">
        <f>SUM(BS65:BS65)</f>
        <v>1211649.9122222224</v>
      </c>
      <c r="BT67" s="115">
        <f>SUM(BT65:BT65)</f>
        <v>1211649.9122222224</v>
      </c>
      <c r="BU67" s="115">
        <f>SUM(BU65:BU65)</f>
        <v>2010046.0877777776</v>
      </c>
      <c r="CN67" s="21"/>
      <c r="DB67" s="21"/>
    </row>
  </sheetData>
  <mergeCells count="308">
    <mergeCell ref="BP53:BP54"/>
    <mergeCell ref="BQ53:BQ54"/>
    <mergeCell ref="BR53:BR54"/>
    <mergeCell ref="BS53:BS54"/>
    <mergeCell ref="BT53:BT54"/>
    <mergeCell ref="BU53:BU54"/>
    <mergeCell ref="BG53:BG54"/>
    <mergeCell ref="BH53:BH54"/>
    <mergeCell ref="BI53:BI54"/>
    <mergeCell ref="BJ53:BJ54"/>
    <mergeCell ref="BK53:BK54"/>
    <mergeCell ref="BL53:BL54"/>
    <mergeCell ref="BM53:BM54"/>
    <mergeCell ref="BN53:BN54"/>
    <mergeCell ref="BO53:BO54"/>
    <mergeCell ref="BP5:BP6"/>
    <mergeCell ref="BQ5:BQ6"/>
    <mergeCell ref="BR5:BR6"/>
    <mergeCell ref="BS5:BS6"/>
    <mergeCell ref="BT5:BT6"/>
    <mergeCell ref="BU5:BU6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BP26:BP27"/>
    <mergeCell ref="BQ26:BQ27"/>
    <mergeCell ref="BR26:BR27"/>
    <mergeCell ref="BS26:BS27"/>
    <mergeCell ref="BT26:BT27"/>
    <mergeCell ref="BU26:BU27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AR26:AR27"/>
    <mergeCell ref="AF53:AF54"/>
    <mergeCell ref="AG53:AG54"/>
    <mergeCell ref="AH53:AH54"/>
    <mergeCell ref="AI53:AI54"/>
    <mergeCell ref="AJ53:AJ54"/>
    <mergeCell ref="AK53:AK54"/>
    <mergeCell ref="AL53:AL54"/>
    <mergeCell ref="AM53:AM54"/>
    <mergeCell ref="AN53:AN54"/>
    <mergeCell ref="AL26:AL27"/>
    <mergeCell ref="AM26:AM27"/>
    <mergeCell ref="AN26:AN27"/>
    <mergeCell ref="AO26:AO27"/>
    <mergeCell ref="AP26:AP27"/>
    <mergeCell ref="AQ26:AQ27"/>
    <mergeCell ref="AF26:AF27"/>
    <mergeCell ref="AG26:AG27"/>
    <mergeCell ref="AO53:AO54"/>
    <mergeCell ref="AP53:AP54"/>
    <mergeCell ref="AQ53:AQ54"/>
    <mergeCell ref="AR53:AR54"/>
    <mergeCell ref="AH26:AH27"/>
    <mergeCell ref="AI26:AI27"/>
    <mergeCell ref="AJ26:AJ27"/>
    <mergeCell ref="AK26:AK27"/>
    <mergeCell ref="Z53:Z54"/>
    <mergeCell ref="AA53:AA54"/>
    <mergeCell ref="AB53:AB54"/>
    <mergeCell ref="AC53:AC54"/>
    <mergeCell ref="AE53:AE54"/>
    <mergeCell ref="AD26:AD27"/>
    <mergeCell ref="T53:T54"/>
    <mergeCell ref="U53:U54"/>
    <mergeCell ref="V53:V54"/>
    <mergeCell ref="W53:W54"/>
    <mergeCell ref="X53:X54"/>
    <mergeCell ref="Y53:Y54"/>
    <mergeCell ref="AE26:AE27"/>
    <mergeCell ref="X26:X27"/>
    <mergeCell ref="Y26:Y27"/>
    <mergeCell ref="Z26:Z27"/>
    <mergeCell ref="AA26:AA27"/>
    <mergeCell ref="AB26:AB27"/>
    <mergeCell ref="AC26:AC27"/>
    <mergeCell ref="O53:O54"/>
    <mergeCell ref="P53:P54"/>
    <mergeCell ref="Q53:Q54"/>
    <mergeCell ref="R53:R54"/>
    <mergeCell ref="S53:S54"/>
    <mergeCell ref="J53:J54"/>
    <mergeCell ref="K53:K54"/>
    <mergeCell ref="L53:L54"/>
    <mergeCell ref="M53:M54"/>
    <mergeCell ref="B53:B54"/>
    <mergeCell ref="C53:C54"/>
    <mergeCell ref="E53:E54"/>
    <mergeCell ref="F53:F54"/>
    <mergeCell ref="G53:G54"/>
    <mergeCell ref="H53:H54"/>
    <mergeCell ref="I53:I54"/>
    <mergeCell ref="B26:B27"/>
    <mergeCell ref="C26:C27"/>
    <mergeCell ref="E26:E27"/>
    <mergeCell ref="F26:F27"/>
    <mergeCell ref="G26:G27"/>
    <mergeCell ref="H26:H27"/>
    <mergeCell ref="I26:I27"/>
    <mergeCell ref="J26:J27"/>
    <mergeCell ref="AA5:AA6"/>
    <mergeCell ref="AB5:AB6"/>
    <mergeCell ref="AC5:AC6"/>
    <mergeCell ref="P5:P6"/>
    <mergeCell ref="Q5:Q6"/>
    <mergeCell ref="R5:R6"/>
    <mergeCell ref="S5:S6"/>
    <mergeCell ref="T5:T6"/>
    <mergeCell ref="P26:P27"/>
    <mergeCell ref="Q26:Q27"/>
    <mergeCell ref="R26:R27"/>
    <mergeCell ref="S26:S27"/>
    <mergeCell ref="Y5:Y6"/>
    <mergeCell ref="T26:T27"/>
    <mergeCell ref="U26:U27"/>
    <mergeCell ref="V26:V27"/>
    <mergeCell ref="W26:W27"/>
    <mergeCell ref="O26:O27"/>
    <mergeCell ref="K26:K27"/>
    <mergeCell ref="L26:L27"/>
    <mergeCell ref="M26:M27"/>
    <mergeCell ref="DI5:DI6"/>
    <mergeCell ref="DJ5:DJ6"/>
    <mergeCell ref="DK5:DK6"/>
    <mergeCell ref="DL5:DL6"/>
    <mergeCell ref="DM5:DM6"/>
    <mergeCell ref="DN5:DN6"/>
    <mergeCell ref="DC5:DC6"/>
    <mergeCell ref="DD5:DD6"/>
    <mergeCell ref="DE5:DE6"/>
    <mergeCell ref="DF5:DF6"/>
    <mergeCell ref="DG5:DG6"/>
    <mergeCell ref="DH5:DH6"/>
    <mergeCell ref="CX5:CX6"/>
    <mergeCell ref="CY5:CY6"/>
    <mergeCell ref="CZ5:CZ6"/>
    <mergeCell ref="DA5:DA6"/>
    <mergeCell ref="DB5:DB6"/>
    <mergeCell ref="CQ5:CQ6"/>
    <mergeCell ref="CR5:CR6"/>
    <mergeCell ref="CS5:CS6"/>
    <mergeCell ref="CT5:CT6"/>
    <mergeCell ref="CU5:CU6"/>
    <mergeCell ref="CV5:CV6"/>
    <mergeCell ref="CM5:CM6"/>
    <mergeCell ref="CN5:CN6"/>
    <mergeCell ref="CO5:CO6"/>
    <mergeCell ref="CP5:CP6"/>
    <mergeCell ref="U5:U6"/>
    <mergeCell ref="V5:V6"/>
    <mergeCell ref="W5:W6"/>
    <mergeCell ref="X5:X6"/>
    <mergeCell ref="CW5:CW6"/>
    <mergeCell ref="AE5:AE6"/>
    <mergeCell ref="AD5:AD6"/>
    <mergeCell ref="AF5:AF6"/>
    <mergeCell ref="AG5:AG6"/>
    <mergeCell ref="AH5:AH6"/>
    <mergeCell ref="AI5:AI6"/>
    <mergeCell ref="AJ5:AJ6"/>
    <mergeCell ref="AQ5:AQ6"/>
    <mergeCell ref="AR5:AR6"/>
    <mergeCell ref="AK5:AK6"/>
    <mergeCell ref="AL5:AL6"/>
    <mergeCell ref="AM5:AM6"/>
    <mergeCell ref="AN5:AN6"/>
    <mergeCell ref="AO5:AO6"/>
    <mergeCell ref="AP5:AP6"/>
    <mergeCell ref="AX5:AX6"/>
    <mergeCell ref="AY5:AY6"/>
    <mergeCell ref="AZ5:AZ6"/>
    <mergeCell ref="BA5:BA6"/>
    <mergeCell ref="B1:Z1"/>
    <mergeCell ref="B2:Z2"/>
    <mergeCell ref="J5:J6"/>
    <mergeCell ref="K5:K6"/>
    <mergeCell ref="L5:L6"/>
    <mergeCell ref="M5:M6"/>
    <mergeCell ref="B5:B6"/>
    <mergeCell ref="C5:C6"/>
    <mergeCell ref="E5:E6"/>
    <mergeCell ref="F5:F6"/>
    <mergeCell ref="G5:G6"/>
    <mergeCell ref="H5:H6"/>
    <mergeCell ref="I5:I6"/>
    <mergeCell ref="O5:O6"/>
    <mergeCell ref="Z5:Z6"/>
    <mergeCell ref="BB5:BB6"/>
    <mergeCell ref="BC5:BC6"/>
    <mergeCell ref="BD5:BD6"/>
    <mergeCell ref="BE5:BE6"/>
    <mergeCell ref="BF5:BF6"/>
    <mergeCell ref="AS26:AS27"/>
    <mergeCell ref="AT26:AT27"/>
    <mergeCell ref="AU26:AU27"/>
    <mergeCell ref="AV26:AV27"/>
    <mergeCell ref="AW26:AW27"/>
    <mergeCell ref="AX26:AX27"/>
    <mergeCell ref="AY26:AY27"/>
    <mergeCell ref="AZ26:AZ27"/>
    <mergeCell ref="BA26:BA27"/>
    <mergeCell ref="BB26:BB27"/>
    <mergeCell ref="BC26:BC27"/>
    <mergeCell ref="BD26:BD27"/>
    <mergeCell ref="BE26:BE27"/>
    <mergeCell ref="BF26:BF27"/>
    <mergeCell ref="AS5:AS6"/>
    <mergeCell ref="AT5:AT6"/>
    <mergeCell ref="AU5:AU6"/>
    <mergeCell ref="AV5:AV6"/>
    <mergeCell ref="AW5:AW6"/>
    <mergeCell ref="BB53:BB54"/>
    <mergeCell ref="BC53:BC54"/>
    <mergeCell ref="BD53:BD54"/>
    <mergeCell ref="BE53:BE54"/>
    <mergeCell ref="BF53:BF54"/>
    <mergeCell ref="AS53:AS54"/>
    <mergeCell ref="AT53:AT54"/>
    <mergeCell ref="AU53:AU54"/>
    <mergeCell ref="AV53:AV54"/>
    <mergeCell ref="AW53:AW54"/>
    <mergeCell ref="AX53:AX54"/>
    <mergeCell ref="AY53:AY54"/>
    <mergeCell ref="AZ53:AZ54"/>
    <mergeCell ref="BA53:BA54"/>
    <mergeCell ref="B63:B64"/>
    <mergeCell ref="C63:C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E63:AE64"/>
    <mergeCell ref="AF63:AF64"/>
    <mergeCell ref="AG63:AG64"/>
    <mergeCell ref="AH63:AH64"/>
    <mergeCell ref="AI63:AI64"/>
    <mergeCell ref="AJ63:AJ64"/>
    <mergeCell ref="AK63:AK64"/>
    <mergeCell ref="AL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P63:BP64"/>
    <mergeCell ref="BQ63:BQ64"/>
    <mergeCell ref="BR63:BR64"/>
    <mergeCell ref="BS63:BS64"/>
    <mergeCell ref="BT63:BT64"/>
    <mergeCell ref="BU63:BU64"/>
    <mergeCell ref="BG63:BG64"/>
    <mergeCell ref="BH63:BH64"/>
    <mergeCell ref="BI63:BI64"/>
    <mergeCell ref="BJ63:BJ64"/>
    <mergeCell ref="BK63:BK64"/>
    <mergeCell ref="BL63:BL64"/>
    <mergeCell ref="BM63:BM64"/>
    <mergeCell ref="BN63:BN64"/>
    <mergeCell ref="BO63:BO64"/>
  </mergeCells>
  <pageMargins left="0.39370078740157483" right="0.39370078740157483" top="0.39370078740157483" bottom="0.39370078740157483" header="0.31496062992125984" footer="0.31496062992125984"/>
  <pageSetup scale="70" orientation="landscape" r:id="rId1"/>
  <ignoredErrors>
    <ignoredError sqref="BQ49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C668B-1382-40B0-8693-8A14048B2FBE}">
  <dimension ref="A1:M32"/>
  <sheetViews>
    <sheetView workbookViewId="0">
      <selection activeCell="I6" sqref="A6:I6"/>
    </sheetView>
  </sheetViews>
  <sheetFormatPr baseColWidth="10" defaultRowHeight="14.4" x14ac:dyDescent="0.3"/>
  <cols>
    <col min="8" max="8" width="37.109375" bestFit="1" customWidth="1"/>
    <col min="9" max="9" width="14.109375" bestFit="1" customWidth="1"/>
    <col min="10" max="10" width="11.6640625" bestFit="1" customWidth="1"/>
    <col min="11" max="11" width="14.33203125" bestFit="1" customWidth="1"/>
    <col min="12" max="12" width="13.109375" bestFit="1" customWidth="1"/>
  </cols>
  <sheetData>
    <row r="1" spans="1:13" x14ac:dyDescent="0.3">
      <c r="A1">
        <v>15240501</v>
      </c>
    </row>
    <row r="2" spans="1:13" x14ac:dyDescent="0.3">
      <c r="A2" s="52" t="s">
        <v>57</v>
      </c>
      <c r="B2" s="52" t="s">
        <v>58</v>
      </c>
      <c r="C2" s="52" t="s">
        <v>59</v>
      </c>
      <c r="D2" s="52" t="s">
        <v>60</v>
      </c>
      <c r="E2" s="52" t="s">
        <v>61</v>
      </c>
      <c r="F2" s="52" t="s">
        <v>62</v>
      </c>
      <c r="G2" s="52" t="s">
        <v>63</v>
      </c>
      <c r="H2" s="52" t="s">
        <v>64</v>
      </c>
      <c r="I2" s="52" t="s">
        <v>65</v>
      </c>
      <c r="J2" s="52" t="s">
        <v>66</v>
      </c>
      <c r="K2" s="52" t="s">
        <v>67</v>
      </c>
    </row>
    <row r="3" spans="1:13" s="60" customFormat="1" x14ac:dyDescent="0.3">
      <c r="A3" s="60">
        <v>1</v>
      </c>
      <c r="B3" s="61" t="s">
        <v>68</v>
      </c>
      <c r="C3" s="61" t="s">
        <v>18</v>
      </c>
      <c r="D3" s="62">
        <v>44186</v>
      </c>
      <c r="E3" s="61" t="s">
        <v>69</v>
      </c>
      <c r="F3" s="60">
        <v>289</v>
      </c>
      <c r="G3" s="61" t="s">
        <v>70</v>
      </c>
      <c r="H3" s="61" t="s">
        <v>71</v>
      </c>
      <c r="I3" s="63">
        <v>6870000</v>
      </c>
      <c r="J3" s="60">
        <v>0</v>
      </c>
      <c r="K3" s="60">
        <v>13370000</v>
      </c>
    </row>
    <row r="4" spans="1:13" x14ac:dyDescent="0.3">
      <c r="A4" s="56">
        <v>1</v>
      </c>
      <c r="B4" s="57" t="s">
        <v>72</v>
      </c>
      <c r="C4" s="57" t="s">
        <v>73</v>
      </c>
      <c r="D4" s="58">
        <v>44250</v>
      </c>
      <c r="E4" s="57" t="s">
        <v>69</v>
      </c>
      <c r="F4" s="56">
        <v>371</v>
      </c>
      <c r="G4" s="57" t="s">
        <v>74</v>
      </c>
      <c r="H4" s="57" t="s">
        <v>75</v>
      </c>
      <c r="I4" s="59">
        <v>255210.09</v>
      </c>
      <c r="J4" s="56">
        <v>0</v>
      </c>
      <c r="K4" s="56">
        <v>13625210.09</v>
      </c>
      <c r="L4" s="56" t="s">
        <v>76</v>
      </c>
    </row>
    <row r="5" spans="1:13" s="60" customFormat="1" x14ac:dyDescent="0.3">
      <c r="A5" s="60">
        <v>1</v>
      </c>
      <c r="B5" s="61" t="s">
        <v>68</v>
      </c>
      <c r="C5" s="61" t="s">
        <v>18</v>
      </c>
      <c r="D5" s="62">
        <v>44398</v>
      </c>
      <c r="E5" s="61" t="s">
        <v>69</v>
      </c>
      <c r="F5" s="60">
        <v>688</v>
      </c>
      <c r="G5" s="61" t="s">
        <v>77</v>
      </c>
      <c r="H5" s="61" t="s">
        <v>78</v>
      </c>
      <c r="I5" s="63">
        <v>854622</v>
      </c>
      <c r="J5" s="60">
        <v>0</v>
      </c>
      <c r="K5" s="60">
        <v>14479832.09</v>
      </c>
      <c r="L5" s="60" t="s">
        <v>81</v>
      </c>
    </row>
    <row r="6" spans="1:13" x14ac:dyDescent="0.3">
      <c r="A6">
        <v>1</v>
      </c>
      <c r="B6" s="53" t="s">
        <v>72</v>
      </c>
      <c r="C6" s="53" t="s">
        <v>73</v>
      </c>
      <c r="D6" s="54">
        <v>44449</v>
      </c>
      <c r="E6" s="53" t="s">
        <v>69</v>
      </c>
      <c r="F6">
        <v>824</v>
      </c>
      <c r="G6" s="53" t="s">
        <v>79</v>
      </c>
      <c r="H6" s="53" t="s">
        <v>80</v>
      </c>
      <c r="I6" s="55">
        <v>1569900.003</v>
      </c>
      <c r="J6">
        <v>0</v>
      </c>
      <c r="K6">
        <v>16049732.093</v>
      </c>
    </row>
    <row r="10" spans="1:13" x14ac:dyDescent="0.3">
      <c r="A10">
        <v>15280501</v>
      </c>
    </row>
    <row r="11" spans="1:13" x14ac:dyDescent="0.3">
      <c r="A11" s="52" t="s">
        <v>57</v>
      </c>
      <c r="B11" s="52" t="s">
        <v>58</v>
      </c>
      <c r="C11" s="52" t="s">
        <v>59</v>
      </c>
      <c r="D11" s="52" t="s">
        <v>60</v>
      </c>
      <c r="E11" s="52" t="s">
        <v>61</v>
      </c>
      <c r="F11" s="52" t="s">
        <v>62</v>
      </c>
      <c r="G11" s="52" t="s">
        <v>63</v>
      </c>
      <c r="H11" s="52" t="s">
        <v>64</v>
      </c>
      <c r="I11" s="52" t="s">
        <v>65</v>
      </c>
      <c r="J11" s="52" t="s">
        <v>66</v>
      </c>
      <c r="K11" s="52" t="s">
        <v>111</v>
      </c>
      <c r="L11" s="52" t="s">
        <v>12</v>
      </c>
    </row>
    <row r="12" spans="1:13" x14ac:dyDescent="0.3">
      <c r="A12">
        <v>1</v>
      </c>
      <c r="B12" s="53" t="s">
        <v>127</v>
      </c>
      <c r="C12" s="53" t="s">
        <v>128</v>
      </c>
      <c r="D12" s="54">
        <v>43579</v>
      </c>
      <c r="E12" s="53" t="s">
        <v>69</v>
      </c>
      <c r="F12">
        <v>71</v>
      </c>
      <c r="G12" s="53" t="s">
        <v>129</v>
      </c>
      <c r="H12" s="53" t="s">
        <v>130</v>
      </c>
      <c r="I12" s="78">
        <v>9313000</v>
      </c>
      <c r="J12" s="78">
        <v>0</v>
      </c>
      <c r="K12" s="78"/>
      <c r="L12" s="52"/>
    </row>
    <row r="13" spans="1:13" x14ac:dyDescent="0.3">
      <c r="A13">
        <v>1</v>
      </c>
      <c r="B13" s="53" t="s">
        <v>127</v>
      </c>
      <c r="C13" s="53" t="s">
        <v>128</v>
      </c>
      <c r="D13" s="54">
        <v>44048</v>
      </c>
      <c r="E13" s="53" t="s">
        <v>69</v>
      </c>
      <c r="F13">
        <v>202</v>
      </c>
      <c r="G13" s="53" t="s">
        <v>131</v>
      </c>
      <c r="H13" s="53" t="s">
        <v>132</v>
      </c>
      <c r="I13" s="78">
        <v>8753500</v>
      </c>
      <c r="J13" s="78">
        <v>0</v>
      </c>
      <c r="K13" s="78"/>
      <c r="L13" s="52"/>
    </row>
    <row r="14" spans="1:13" x14ac:dyDescent="0.3">
      <c r="A14">
        <v>1</v>
      </c>
      <c r="B14" s="53" t="s">
        <v>92</v>
      </c>
      <c r="C14" s="53" t="s">
        <v>93</v>
      </c>
      <c r="D14" s="54">
        <v>44139</v>
      </c>
      <c r="E14" s="53" t="s">
        <v>69</v>
      </c>
      <c r="F14">
        <v>250</v>
      </c>
      <c r="G14" s="53" t="s">
        <v>133</v>
      </c>
      <c r="H14" s="53" t="s">
        <v>134</v>
      </c>
      <c r="I14" s="78">
        <v>3550000</v>
      </c>
      <c r="J14" s="78">
        <v>0</v>
      </c>
      <c r="K14" s="78"/>
      <c r="L14" s="52"/>
    </row>
    <row r="15" spans="1:13" s="68" customFormat="1" x14ac:dyDescent="0.3">
      <c r="A15" s="68">
        <v>1</v>
      </c>
      <c r="B15" s="69" t="s">
        <v>88</v>
      </c>
      <c r="C15" s="69" t="s">
        <v>89</v>
      </c>
      <c r="D15" s="70">
        <v>44254</v>
      </c>
      <c r="E15" s="69" t="s">
        <v>69</v>
      </c>
      <c r="F15" s="68">
        <v>378</v>
      </c>
      <c r="G15" s="69" t="s">
        <v>90</v>
      </c>
      <c r="H15" s="69" t="s">
        <v>91</v>
      </c>
      <c r="I15" s="71">
        <v>6357999.8300000001</v>
      </c>
      <c r="J15" s="71">
        <v>0</v>
      </c>
      <c r="K15" s="72">
        <v>5627058</v>
      </c>
      <c r="L15" s="72">
        <f>I15-K15</f>
        <v>730941.83000000007</v>
      </c>
      <c r="M15" s="72"/>
    </row>
    <row r="16" spans="1:13" s="68" customFormat="1" x14ac:dyDescent="0.3">
      <c r="A16" s="68">
        <v>1</v>
      </c>
      <c r="B16" s="69" t="s">
        <v>92</v>
      </c>
      <c r="C16" s="69" t="s">
        <v>93</v>
      </c>
      <c r="D16" s="70">
        <v>44311</v>
      </c>
      <c r="E16" s="69" t="s">
        <v>94</v>
      </c>
      <c r="F16" s="68">
        <v>5</v>
      </c>
      <c r="G16" s="69" t="s">
        <v>95</v>
      </c>
      <c r="H16" s="69" t="s">
        <v>96</v>
      </c>
      <c r="I16" s="71">
        <v>3899900</v>
      </c>
      <c r="J16" s="71">
        <v>0</v>
      </c>
      <c r="K16" s="72">
        <f>+I16</f>
        <v>3899900</v>
      </c>
      <c r="L16" s="72">
        <v>0</v>
      </c>
      <c r="M16" s="72"/>
    </row>
    <row r="17" spans="1:13" s="68" customFormat="1" x14ac:dyDescent="0.3">
      <c r="A17" s="68">
        <v>1</v>
      </c>
      <c r="B17" s="69" t="s">
        <v>97</v>
      </c>
      <c r="C17" s="69" t="s">
        <v>98</v>
      </c>
      <c r="D17" s="70">
        <v>44335</v>
      </c>
      <c r="E17" s="69" t="s">
        <v>69</v>
      </c>
      <c r="F17" s="68">
        <v>581</v>
      </c>
      <c r="G17" s="69" t="s">
        <v>99</v>
      </c>
      <c r="H17" s="69" t="s">
        <v>100</v>
      </c>
      <c r="I17" s="71">
        <v>4579831</v>
      </c>
      <c r="J17" s="71">
        <v>0</v>
      </c>
      <c r="K17" s="72">
        <f>+I17</f>
        <v>4579831</v>
      </c>
      <c r="L17" s="72">
        <v>870168</v>
      </c>
      <c r="M17" s="72"/>
    </row>
    <row r="18" spans="1:13" s="68" customFormat="1" x14ac:dyDescent="0.3">
      <c r="A18" s="68">
        <v>1</v>
      </c>
      <c r="B18" s="69" t="s">
        <v>101</v>
      </c>
      <c r="C18" s="69" t="s">
        <v>102</v>
      </c>
      <c r="D18" s="70">
        <v>44342</v>
      </c>
      <c r="E18" s="69" t="s">
        <v>94</v>
      </c>
      <c r="F18" s="68">
        <v>10</v>
      </c>
      <c r="G18" s="69" t="s">
        <v>103</v>
      </c>
      <c r="H18" s="69" t="s">
        <v>104</v>
      </c>
      <c r="I18" s="71">
        <v>1932520</v>
      </c>
      <c r="J18" s="71">
        <v>0</v>
      </c>
      <c r="K18" s="72"/>
      <c r="L18" s="72"/>
      <c r="M18" s="72"/>
    </row>
    <row r="19" spans="1:13" s="68" customFormat="1" x14ac:dyDescent="0.3">
      <c r="A19" s="68">
        <v>1</v>
      </c>
      <c r="B19" s="69" t="s">
        <v>101</v>
      </c>
      <c r="C19" s="69" t="s">
        <v>102</v>
      </c>
      <c r="D19" s="70">
        <v>44440</v>
      </c>
      <c r="E19" s="69" t="s">
        <v>94</v>
      </c>
      <c r="F19" s="68">
        <v>18</v>
      </c>
      <c r="G19" s="69" t="s">
        <v>105</v>
      </c>
      <c r="H19" s="69" t="s">
        <v>106</v>
      </c>
      <c r="I19" s="71">
        <v>800000</v>
      </c>
      <c r="J19" s="71">
        <v>0</v>
      </c>
      <c r="K19" s="72"/>
      <c r="L19" s="72"/>
      <c r="M19" s="72"/>
    </row>
    <row r="20" spans="1:13" s="73" customFormat="1" x14ac:dyDescent="0.3">
      <c r="A20" s="73">
        <v>1</v>
      </c>
      <c r="B20" s="74" t="s">
        <v>107</v>
      </c>
      <c r="C20" s="74" t="s">
        <v>108</v>
      </c>
      <c r="D20" s="75">
        <v>44461</v>
      </c>
      <c r="E20" s="74" t="s">
        <v>69</v>
      </c>
      <c r="F20" s="73">
        <v>844</v>
      </c>
      <c r="G20" s="74" t="s">
        <v>109</v>
      </c>
      <c r="H20" s="74" t="s">
        <v>110</v>
      </c>
      <c r="I20" s="76">
        <v>2268143</v>
      </c>
      <c r="J20" s="76">
        <v>0</v>
      </c>
      <c r="K20" s="77"/>
      <c r="L20" s="77"/>
      <c r="M20" s="77" t="s">
        <v>114</v>
      </c>
    </row>
    <row r="21" spans="1:13" x14ac:dyDescent="0.3">
      <c r="K21" s="50"/>
      <c r="L21" s="50"/>
      <c r="M21" s="50"/>
    </row>
    <row r="22" spans="1:13" x14ac:dyDescent="0.3">
      <c r="K22" s="50"/>
      <c r="L22" s="50"/>
      <c r="M22" s="50"/>
    </row>
    <row r="23" spans="1:13" x14ac:dyDescent="0.3">
      <c r="K23" s="50"/>
      <c r="L23" s="50"/>
      <c r="M23" s="50"/>
    </row>
    <row r="24" spans="1:13" x14ac:dyDescent="0.3">
      <c r="A24">
        <v>15281001</v>
      </c>
      <c r="L24" s="50"/>
      <c r="M24" s="50"/>
    </row>
    <row r="25" spans="1:13" x14ac:dyDescent="0.3">
      <c r="A25" s="52" t="s">
        <v>57</v>
      </c>
      <c r="B25" s="52" t="s">
        <v>58</v>
      </c>
      <c r="C25" s="52" t="s">
        <v>59</v>
      </c>
      <c r="D25" s="52" t="s">
        <v>60</v>
      </c>
      <c r="E25" s="52" t="s">
        <v>61</v>
      </c>
      <c r="F25" s="52" t="s">
        <v>62</v>
      </c>
      <c r="G25" s="52" t="s">
        <v>63</v>
      </c>
      <c r="H25" s="52" t="s">
        <v>64</v>
      </c>
      <c r="I25" s="52" t="s">
        <v>65</v>
      </c>
      <c r="J25" s="52" t="s">
        <v>66</v>
      </c>
      <c r="K25" s="52" t="s">
        <v>67</v>
      </c>
      <c r="L25" s="50"/>
      <c r="M25" s="50"/>
    </row>
    <row r="26" spans="1:13" x14ac:dyDescent="0.3">
      <c r="A26">
        <v>1</v>
      </c>
      <c r="B26" s="53" t="s">
        <v>107</v>
      </c>
      <c r="C26" s="53" t="s">
        <v>108</v>
      </c>
      <c r="D26" s="54">
        <v>44233</v>
      </c>
      <c r="E26" s="53" t="s">
        <v>69</v>
      </c>
      <c r="F26">
        <v>352</v>
      </c>
      <c r="G26" s="53" t="s">
        <v>115</v>
      </c>
      <c r="H26" s="53" t="s">
        <v>116</v>
      </c>
      <c r="I26" s="49">
        <v>797900</v>
      </c>
      <c r="J26" s="49">
        <v>0</v>
      </c>
      <c r="K26" s="49">
        <v>797900</v>
      </c>
      <c r="L26" s="50"/>
      <c r="M26" s="50"/>
    </row>
    <row r="27" spans="1:13" x14ac:dyDescent="0.3">
      <c r="I27" s="49"/>
      <c r="J27" s="49"/>
      <c r="K27" s="49"/>
      <c r="L27" s="50"/>
      <c r="M27" s="50"/>
    </row>
    <row r="29" spans="1:13" x14ac:dyDescent="0.3">
      <c r="A29">
        <v>15400501</v>
      </c>
    </row>
    <row r="30" spans="1:13" x14ac:dyDescent="0.3">
      <c r="A30" s="52" t="s">
        <v>57</v>
      </c>
      <c r="B30" s="52" t="s">
        <v>58</v>
      </c>
      <c r="C30" s="52" t="s">
        <v>59</v>
      </c>
      <c r="D30" s="52" t="s">
        <v>60</v>
      </c>
      <c r="E30" s="52" t="s">
        <v>61</v>
      </c>
      <c r="F30" s="52" t="s">
        <v>62</v>
      </c>
      <c r="G30" s="52" t="s">
        <v>63</v>
      </c>
      <c r="H30" s="52" t="s">
        <v>64</v>
      </c>
      <c r="I30" s="52" t="s">
        <v>65</v>
      </c>
      <c r="J30" s="52" t="s">
        <v>66</v>
      </c>
      <c r="K30" s="52" t="s">
        <v>67</v>
      </c>
    </row>
    <row r="31" spans="1:13" x14ac:dyDescent="0.3">
      <c r="A31">
        <v>1</v>
      </c>
      <c r="B31" s="53" t="s">
        <v>118</v>
      </c>
      <c r="C31" s="53" t="s">
        <v>119</v>
      </c>
      <c r="D31" s="54">
        <v>44537</v>
      </c>
      <c r="E31" s="53" t="s">
        <v>69</v>
      </c>
      <c r="F31">
        <v>1097</v>
      </c>
      <c r="G31" s="53" t="s">
        <v>120</v>
      </c>
      <c r="H31" s="53" t="s">
        <v>121</v>
      </c>
      <c r="I31" s="49">
        <v>2243945</v>
      </c>
      <c r="J31" s="49">
        <v>0</v>
      </c>
      <c r="K31" s="49">
        <v>2243945</v>
      </c>
    </row>
    <row r="32" spans="1:13" x14ac:dyDescent="0.3">
      <c r="A32">
        <v>1</v>
      </c>
      <c r="B32" s="53" t="s">
        <v>118</v>
      </c>
      <c r="C32" s="53" t="s">
        <v>119</v>
      </c>
      <c r="D32" s="54">
        <v>44537</v>
      </c>
      <c r="E32" s="53" t="s">
        <v>69</v>
      </c>
      <c r="F32">
        <v>1097</v>
      </c>
      <c r="G32" s="53" t="s">
        <v>120</v>
      </c>
      <c r="H32" s="53" t="s">
        <v>122</v>
      </c>
      <c r="I32" s="49">
        <v>11810237</v>
      </c>
      <c r="J32" s="49">
        <v>0</v>
      </c>
      <c r="K32" s="49">
        <v>14054182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B6F2-9CCC-4D01-8DAB-FD3F89FE9AE8}">
  <dimension ref="A1:D21"/>
  <sheetViews>
    <sheetView workbookViewId="0">
      <selection activeCell="B11" sqref="B11"/>
    </sheetView>
  </sheetViews>
  <sheetFormatPr baseColWidth="10" defaultRowHeight="14.4" x14ac:dyDescent="0.3"/>
  <cols>
    <col min="1" max="1" width="59.5546875" customWidth="1"/>
    <col min="3" max="4" width="13.109375" bestFit="1" customWidth="1"/>
  </cols>
  <sheetData>
    <row r="1" spans="1:3" ht="70.8" thickTop="1" thickBot="1" x14ac:dyDescent="0.35">
      <c r="A1" s="42" t="s">
        <v>20</v>
      </c>
      <c r="B1" s="42" t="s">
        <v>21</v>
      </c>
      <c r="C1" s="43" t="s">
        <v>22</v>
      </c>
    </row>
    <row r="2" spans="1:3" ht="18" thickBot="1" x14ac:dyDescent="0.35">
      <c r="A2" s="44" t="s">
        <v>23</v>
      </c>
      <c r="B2" s="44" t="s">
        <v>24</v>
      </c>
      <c r="C2" s="45" t="s">
        <v>25</v>
      </c>
    </row>
    <row r="3" spans="1:3" ht="18" thickBot="1" x14ac:dyDescent="0.35">
      <c r="A3" s="44" t="s">
        <v>26</v>
      </c>
      <c r="B3" s="44" t="s">
        <v>27</v>
      </c>
      <c r="C3" s="45" t="s">
        <v>28</v>
      </c>
    </row>
    <row r="4" spans="1:3" ht="18" thickBot="1" x14ac:dyDescent="0.35">
      <c r="A4" s="44" t="s">
        <v>29</v>
      </c>
      <c r="B4" s="44" t="s">
        <v>27</v>
      </c>
      <c r="C4" s="45" t="s">
        <v>28</v>
      </c>
    </row>
    <row r="5" spans="1:3" ht="18" thickBot="1" x14ac:dyDescent="0.35">
      <c r="A5" s="44" t="s">
        <v>30</v>
      </c>
      <c r="B5" s="44" t="s">
        <v>31</v>
      </c>
      <c r="C5" s="45" t="s">
        <v>32</v>
      </c>
    </row>
    <row r="6" spans="1:3" ht="18" thickBot="1" x14ac:dyDescent="0.35">
      <c r="A6" s="44" t="s">
        <v>33</v>
      </c>
      <c r="B6" s="44" t="s">
        <v>34</v>
      </c>
      <c r="C6" s="45" t="s">
        <v>35</v>
      </c>
    </row>
    <row r="7" spans="1:3" ht="18" thickBot="1" x14ac:dyDescent="0.35">
      <c r="A7" s="44" t="s">
        <v>36</v>
      </c>
      <c r="B7" s="44" t="s">
        <v>37</v>
      </c>
      <c r="C7" s="45" t="s">
        <v>38</v>
      </c>
    </row>
    <row r="8" spans="1:3" ht="18" thickBot="1" x14ac:dyDescent="0.35">
      <c r="A8" s="44" t="s">
        <v>39</v>
      </c>
      <c r="B8" s="44" t="s">
        <v>40</v>
      </c>
      <c r="C8" s="45" t="s">
        <v>41</v>
      </c>
    </row>
    <row r="9" spans="1:3" ht="18" thickBot="1" x14ac:dyDescent="0.35">
      <c r="A9" s="44" t="s">
        <v>42</v>
      </c>
      <c r="B9" s="44" t="s">
        <v>40</v>
      </c>
      <c r="C9" s="45" t="s">
        <v>41</v>
      </c>
    </row>
    <row r="10" spans="1:3" ht="18" thickBot="1" x14ac:dyDescent="0.35">
      <c r="A10" s="44" t="s">
        <v>43</v>
      </c>
      <c r="B10" s="44" t="s">
        <v>40</v>
      </c>
      <c r="C10" s="45" t="s">
        <v>41</v>
      </c>
    </row>
    <row r="11" spans="1:3" ht="18" thickBot="1" x14ac:dyDescent="0.35">
      <c r="A11" s="44" t="s">
        <v>44</v>
      </c>
      <c r="B11" s="44" t="s">
        <v>40</v>
      </c>
      <c r="C11" s="45" t="s">
        <v>41</v>
      </c>
    </row>
    <row r="12" spans="1:3" ht="18" thickBot="1" x14ac:dyDescent="0.35">
      <c r="A12" s="44" t="s">
        <v>45</v>
      </c>
      <c r="B12" s="44" t="s">
        <v>40</v>
      </c>
      <c r="C12" s="45" t="s">
        <v>41</v>
      </c>
    </row>
    <row r="13" spans="1:3" ht="18" thickBot="1" x14ac:dyDescent="0.35">
      <c r="A13" s="44" t="s">
        <v>46</v>
      </c>
      <c r="B13" s="44" t="s">
        <v>47</v>
      </c>
      <c r="C13" s="45" t="s">
        <v>48</v>
      </c>
    </row>
    <row r="14" spans="1:3" ht="18" thickBot="1" x14ac:dyDescent="0.35">
      <c r="A14" s="44" t="s">
        <v>49</v>
      </c>
      <c r="B14" s="44" t="s">
        <v>50</v>
      </c>
      <c r="C14" s="45" t="s">
        <v>51</v>
      </c>
    </row>
    <row r="15" spans="1:3" ht="18" thickBot="1" x14ac:dyDescent="0.35">
      <c r="A15" s="44" t="s">
        <v>52</v>
      </c>
      <c r="B15" s="44" t="s">
        <v>50</v>
      </c>
      <c r="C15" s="45" t="s">
        <v>51</v>
      </c>
    </row>
    <row r="16" spans="1:3" ht="18" thickBot="1" x14ac:dyDescent="0.35">
      <c r="A16" s="44" t="s">
        <v>53</v>
      </c>
      <c r="B16" s="44" t="s">
        <v>50</v>
      </c>
      <c r="C16" s="45" t="s">
        <v>51</v>
      </c>
    </row>
    <row r="17" spans="1:4" ht="18" thickBot="1" x14ac:dyDescent="0.35">
      <c r="A17" s="46" t="s">
        <v>54</v>
      </c>
      <c r="B17" s="46" t="s">
        <v>50</v>
      </c>
      <c r="C17" s="47" t="s">
        <v>51</v>
      </c>
    </row>
    <row r="18" spans="1:4" ht="17.399999999999999" x14ac:dyDescent="0.3">
      <c r="A18" s="48"/>
      <c r="B18" s="48"/>
      <c r="C18" s="48"/>
    </row>
    <row r="19" spans="1:4" x14ac:dyDescent="0.3">
      <c r="C19">
        <v>2021</v>
      </c>
      <c r="D19">
        <v>2022</v>
      </c>
    </row>
    <row r="20" spans="1:4" ht="17.399999999999999" x14ac:dyDescent="0.3">
      <c r="B20" s="48" t="s">
        <v>55</v>
      </c>
      <c r="C20">
        <v>36308</v>
      </c>
      <c r="D20">
        <v>38004</v>
      </c>
    </row>
    <row r="21" spans="1:4" ht="17.399999999999999" x14ac:dyDescent="0.3">
      <c r="A21" s="48" t="s">
        <v>56</v>
      </c>
      <c r="B21">
        <v>50</v>
      </c>
      <c r="C21" s="51">
        <f>$B$21*C20</f>
        <v>1815400</v>
      </c>
      <c r="D21" s="51">
        <f>$B$21*D20</f>
        <v>1900200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2357-DEB2-49A8-94BA-DC4256605946}">
  <sheetPr filterMode="1"/>
  <dimension ref="A1:EL85"/>
  <sheetViews>
    <sheetView tabSelected="1" topLeftCell="B1" zoomScaleNormal="100" workbookViewId="0">
      <pane xSplit="12" ySplit="2" topLeftCell="N35" activePane="bottomRight" state="frozen"/>
      <selection activeCell="B1" sqref="B1"/>
      <selection pane="topRight" activeCell="N1" sqref="N1"/>
      <selection pane="bottomLeft" activeCell="B3" sqref="B3"/>
      <selection pane="bottomRight" activeCell="BG53" sqref="BG53:BO53"/>
    </sheetView>
  </sheetViews>
  <sheetFormatPr baseColWidth="10" defaultRowHeight="13.8" x14ac:dyDescent="0.3"/>
  <cols>
    <col min="1" max="1" width="5.44140625" style="1" hidden="1" customWidth="1"/>
    <col min="2" max="2" width="22.33203125" style="6" customWidth="1"/>
    <col min="3" max="3" width="10.109375" style="6" customWidth="1"/>
    <col min="4" max="4" width="25.33203125" style="6" hidden="1" customWidth="1"/>
    <col min="5" max="5" width="7.5546875" style="6" customWidth="1"/>
    <col min="6" max="6" width="12.88671875" style="1" bestFit="1" customWidth="1"/>
    <col min="7" max="7" width="13.5546875" style="1" customWidth="1"/>
    <col min="8" max="8" width="16.88671875" style="1" hidden="1" customWidth="1"/>
    <col min="9" max="9" width="4.88671875" style="1" customWidth="1"/>
    <col min="10" max="10" width="11.109375" style="1" customWidth="1"/>
    <col min="11" max="11" width="14" style="1" customWidth="1"/>
    <col min="12" max="12" width="19.88671875" style="1" hidden="1" customWidth="1"/>
    <col min="13" max="13" width="33" style="1" hidden="1" customWidth="1"/>
    <col min="14" max="14" width="1" style="3" customWidth="1"/>
    <col min="15" max="15" width="9.44140625" style="6" hidden="1" customWidth="1"/>
    <col min="16" max="16" width="11" style="6" hidden="1" customWidth="1"/>
    <col min="17" max="17" width="10.6640625" style="6" hidden="1" customWidth="1"/>
    <col min="18" max="18" width="11.33203125" style="6" hidden="1" customWidth="1"/>
    <col min="19" max="19" width="10.6640625" style="6" hidden="1" customWidth="1"/>
    <col min="20" max="20" width="11.33203125" style="6" hidden="1" customWidth="1"/>
    <col min="21" max="21" width="10.5546875" style="6" hidden="1" customWidth="1"/>
    <col min="22" max="22" width="10.109375" style="6" hidden="1" customWidth="1"/>
    <col min="23" max="23" width="11" style="6" hidden="1" customWidth="1"/>
    <col min="24" max="24" width="10.6640625" style="6" hidden="1" customWidth="1"/>
    <col min="25" max="25" width="10.5546875" style="6" hidden="1" customWidth="1"/>
    <col min="26" max="26" width="11" style="6" hidden="1" customWidth="1"/>
    <col min="27" max="27" width="10.44140625" style="3" hidden="1" customWidth="1"/>
    <col min="28" max="28" width="8" style="3" hidden="1" customWidth="1"/>
    <col min="29" max="29" width="11" style="3" hidden="1" customWidth="1"/>
    <col min="30" max="30" width="10.6640625" style="3" hidden="1" customWidth="1"/>
    <col min="31" max="31" width="11.33203125" style="3" hidden="1" customWidth="1"/>
    <col min="32" max="32" width="10.6640625" style="3" hidden="1" customWidth="1"/>
    <col min="33" max="33" width="11.33203125" style="3" hidden="1" customWidth="1"/>
    <col min="34" max="34" width="10.5546875" style="3" hidden="1" customWidth="1"/>
    <col min="35" max="35" width="10.109375" style="3" hidden="1" customWidth="1"/>
    <col min="36" max="36" width="11" style="3" hidden="1" customWidth="1"/>
    <col min="37" max="37" width="10.6640625" style="3" hidden="1" customWidth="1"/>
    <col min="38" max="38" width="10.5546875" style="3" hidden="1" customWidth="1"/>
    <col min="39" max="39" width="11" style="3" hidden="1" customWidth="1"/>
    <col min="40" max="40" width="10.44140625" style="3" hidden="1" customWidth="1"/>
    <col min="41" max="41" width="9.5546875" style="3" hidden="1" customWidth="1"/>
    <col min="42" max="42" width="11" style="3" hidden="1" customWidth="1"/>
    <col min="43" max="43" width="10.6640625" style="3" hidden="1" customWidth="1"/>
    <col min="44" max="44" width="11.33203125" style="3" hidden="1" customWidth="1"/>
    <col min="45" max="45" width="10.6640625" style="3" hidden="1" customWidth="1"/>
    <col min="46" max="46" width="11.33203125" style="3" hidden="1" customWidth="1"/>
    <col min="47" max="47" width="10.5546875" style="3" hidden="1" customWidth="1"/>
    <col min="48" max="48" width="10.109375" style="3" hidden="1" customWidth="1"/>
    <col min="49" max="49" width="11" style="3" hidden="1" customWidth="1"/>
    <col min="50" max="50" width="10.6640625" style="3" hidden="1" customWidth="1"/>
    <col min="51" max="51" width="10.5546875" style="3" hidden="1" customWidth="1"/>
    <col min="52" max="52" width="11" style="3" hidden="1" customWidth="1"/>
    <col min="53" max="53" width="4.33203125" style="3" hidden="1" customWidth="1"/>
    <col min="54" max="54" width="12.88671875" style="3" hidden="1" customWidth="1"/>
    <col min="55" max="55" width="8.5546875" style="3" hidden="1" customWidth="1"/>
    <col min="56" max="56" width="11.33203125" style="3" hidden="1" customWidth="1"/>
    <col min="57" max="57" width="12.6640625" style="3" hidden="1" customWidth="1"/>
    <col min="58" max="58" width="12.5546875" style="3" hidden="1" customWidth="1"/>
    <col min="59" max="59" width="11.33203125" style="3" customWidth="1"/>
    <col min="60" max="60" width="10.5546875" style="3" hidden="1" customWidth="1"/>
    <col min="61" max="61" width="10" style="3" hidden="1" customWidth="1"/>
    <col min="62" max="62" width="10.88671875" style="3" hidden="1" customWidth="1"/>
    <col min="63" max="63" width="10.77734375" style="3" hidden="1" customWidth="1"/>
    <col min="64" max="64" width="10.5546875" style="3" hidden="1" customWidth="1"/>
    <col min="65" max="65" width="11" style="3" hidden="1" customWidth="1"/>
    <col min="66" max="66" width="0.88671875" style="3" customWidth="1"/>
    <col min="67" max="67" width="11.5546875" style="3" customWidth="1"/>
    <col min="68" max="68" width="12.5546875" style="3" customWidth="1"/>
    <col min="69" max="69" width="17.5546875" style="3" customWidth="1"/>
    <col min="70" max="72" width="11.44140625" style="195"/>
    <col min="73" max="73" width="13.33203125" style="195" bestFit="1" customWidth="1"/>
    <col min="74" max="84" width="11.44140625" style="195"/>
    <col min="85" max="85" width="14.44140625" style="195" bestFit="1" customWidth="1"/>
    <col min="86" max="102" width="11.44140625" style="195"/>
    <col min="103" max="103" width="4.109375" style="195" customWidth="1"/>
    <col min="104" max="104" width="23.33203125" style="195" customWidth="1"/>
    <col min="105" max="105" width="13.44140625" style="195" customWidth="1"/>
    <col min="106" max="106" width="19" style="195" customWidth="1"/>
    <col min="107" max="107" width="10.5546875" style="195" customWidth="1"/>
    <col min="108" max="108" width="14.109375" style="195" bestFit="1" customWidth="1"/>
    <col min="109" max="109" width="16.88671875" style="195" customWidth="1"/>
    <col min="110" max="110" width="20.5546875" style="195" customWidth="1"/>
    <col min="111" max="111" width="5.109375" style="195" customWidth="1"/>
    <col min="112" max="112" width="5.6640625" style="195" customWidth="1"/>
    <col min="113" max="113" width="16.6640625" style="195" customWidth="1"/>
    <col min="114" max="114" width="22.109375" style="195" customWidth="1"/>
    <col min="115" max="115" width="34.33203125" style="195" customWidth="1"/>
    <col min="116" max="116" width="26.109375" style="195" customWidth="1"/>
    <col min="117" max="117" width="11" style="195" customWidth="1"/>
    <col min="118" max="118" width="24.5546875" style="195" customWidth="1"/>
    <col min="119" max="119" width="4.44140625" style="195" customWidth="1"/>
    <col min="120" max="127" width="10.6640625" style="195" customWidth="1"/>
    <col min="128" max="128" width="11.6640625" style="195" customWidth="1"/>
    <col min="129" max="129" width="10.6640625" style="195" customWidth="1"/>
    <col min="130" max="130" width="11.33203125" style="195" customWidth="1"/>
    <col min="131" max="131" width="10.6640625" style="195" customWidth="1"/>
    <col min="132" max="132" width="20.44140625" style="195" customWidth="1"/>
    <col min="133" max="133" width="11.33203125" style="195" customWidth="1"/>
    <col min="134" max="134" width="11" style="195" customWidth="1"/>
    <col min="135" max="136" width="12" style="195" customWidth="1"/>
    <col min="137" max="137" width="9.44140625" style="195" customWidth="1"/>
    <col min="138" max="138" width="10.6640625" style="195" customWidth="1"/>
    <col min="139" max="142" width="9" style="195" customWidth="1"/>
    <col min="143" max="148" width="9" style="3" customWidth="1"/>
    <col min="149" max="149" width="20.44140625" style="3" customWidth="1"/>
    <col min="150" max="150" width="12.44140625" style="3" customWidth="1"/>
    <col min="151" max="151" width="13.109375" style="3" customWidth="1"/>
    <col min="152" max="164" width="11.44140625" style="3"/>
    <col min="165" max="165" width="16.109375" style="3" customWidth="1"/>
    <col min="166" max="166" width="16.44140625" style="3" customWidth="1"/>
    <col min="167" max="178" width="11.44140625" style="3"/>
    <col min="179" max="179" width="12.6640625" style="3" customWidth="1"/>
    <col min="180" max="180" width="12" style="3" customWidth="1"/>
    <col min="181" max="192" width="11.44140625" style="3"/>
    <col min="193" max="193" width="12.5546875" style="3" customWidth="1"/>
    <col min="194" max="194" width="14.6640625" style="3" customWidth="1"/>
    <col min="195" max="204" width="13.33203125" style="3" customWidth="1"/>
    <col min="205" max="205" width="16.33203125" style="3" customWidth="1"/>
    <col min="206" max="206" width="17" style="3" customWidth="1"/>
    <col min="207" max="207" width="15.44140625" style="3" customWidth="1"/>
    <col min="208" max="208" width="15.88671875" style="3" customWidth="1"/>
    <col min="209" max="209" width="13.33203125" style="3" bestFit="1" customWidth="1"/>
    <col min="210" max="220" width="11.44140625" style="3" customWidth="1"/>
    <col min="221" max="221" width="15.44140625" style="3" customWidth="1"/>
    <col min="222" max="222" width="15.88671875" style="3" customWidth="1"/>
    <col min="223" max="358" width="11.44140625" style="3"/>
    <col min="359" max="359" width="4.109375" style="3" customWidth="1"/>
    <col min="360" max="360" width="23.33203125" style="3" customWidth="1"/>
    <col min="361" max="361" width="13.44140625" style="3" customWidth="1"/>
    <col min="362" max="362" width="19" style="3" customWidth="1"/>
    <col min="363" max="363" width="10.5546875" style="3" customWidth="1"/>
    <col min="364" max="364" width="14.109375" style="3" bestFit="1" customWidth="1"/>
    <col min="365" max="365" width="16.88671875" style="3" customWidth="1"/>
    <col min="366" max="366" width="20.5546875" style="3" customWidth="1"/>
    <col min="367" max="367" width="5.109375" style="3" customWidth="1"/>
    <col min="368" max="368" width="5.6640625" style="3" customWidth="1"/>
    <col min="369" max="369" width="16.6640625" style="3" customWidth="1"/>
    <col min="370" max="370" width="22.109375" style="3" customWidth="1"/>
    <col min="371" max="371" width="34.33203125" style="3" customWidth="1"/>
    <col min="372" max="372" width="26.109375" style="3" customWidth="1"/>
    <col min="373" max="373" width="11" style="3" customWidth="1"/>
    <col min="374" max="374" width="24.5546875" style="3" customWidth="1"/>
    <col min="375" max="375" width="4.44140625" style="3" customWidth="1"/>
    <col min="376" max="383" width="10.6640625" style="3" customWidth="1"/>
    <col min="384" max="384" width="11.6640625" style="3" customWidth="1"/>
    <col min="385" max="385" width="10.6640625" style="3" customWidth="1"/>
    <col min="386" max="386" width="11.33203125" style="3" customWidth="1"/>
    <col min="387" max="387" width="10.6640625" style="3" customWidth="1"/>
    <col min="388" max="388" width="20.44140625" style="3" customWidth="1"/>
    <col min="389" max="389" width="11.33203125" style="3" customWidth="1"/>
    <col min="390" max="390" width="11" style="3" customWidth="1"/>
    <col min="391" max="392" width="12" style="3" customWidth="1"/>
    <col min="393" max="393" width="9.44140625" style="3" customWidth="1"/>
    <col min="394" max="394" width="10.6640625" style="3" customWidth="1"/>
    <col min="395" max="404" width="9" style="3" customWidth="1"/>
    <col min="405" max="405" width="20.44140625" style="3" customWidth="1"/>
    <col min="406" max="406" width="12.44140625" style="3" customWidth="1"/>
    <col min="407" max="407" width="13.109375" style="3" customWidth="1"/>
    <col min="408" max="420" width="11.44140625" style="3"/>
    <col min="421" max="421" width="16.109375" style="3" customWidth="1"/>
    <col min="422" max="422" width="16.44140625" style="3" customWidth="1"/>
    <col min="423" max="434" width="11.44140625" style="3"/>
    <col min="435" max="435" width="12.6640625" style="3" customWidth="1"/>
    <col min="436" max="436" width="12" style="3" customWidth="1"/>
    <col min="437" max="448" width="11.44140625" style="3"/>
    <col min="449" max="449" width="12.5546875" style="3" customWidth="1"/>
    <col min="450" max="450" width="14.6640625" style="3" customWidth="1"/>
    <col min="451" max="460" width="13.33203125" style="3" customWidth="1"/>
    <col min="461" max="461" width="16.33203125" style="3" customWidth="1"/>
    <col min="462" max="462" width="17" style="3" customWidth="1"/>
    <col min="463" max="463" width="15.44140625" style="3" customWidth="1"/>
    <col min="464" max="464" width="15.88671875" style="3" customWidth="1"/>
    <col min="465" max="465" width="13.33203125" style="3" bestFit="1" customWidth="1"/>
    <col min="466" max="476" width="11.44140625" style="3" customWidth="1"/>
    <col min="477" max="477" width="15.44140625" style="3" customWidth="1"/>
    <col min="478" max="478" width="15.88671875" style="3" customWidth="1"/>
    <col min="479" max="614" width="11.44140625" style="3"/>
    <col min="615" max="615" width="4.109375" style="3" customWidth="1"/>
    <col min="616" max="616" width="23.33203125" style="3" customWidth="1"/>
    <col min="617" max="617" width="13.44140625" style="3" customWidth="1"/>
    <col min="618" max="618" width="19" style="3" customWidth="1"/>
    <col min="619" max="619" width="10.5546875" style="3" customWidth="1"/>
    <col min="620" max="620" width="14.109375" style="3" bestFit="1" customWidth="1"/>
    <col min="621" max="621" width="16.88671875" style="3" customWidth="1"/>
    <col min="622" max="622" width="20.5546875" style="3" customWidth="1"/>
    <col min="623" max="623" width="5.109375" style="3" customWidth="1"/>
    <col min="624" max="624" width="5.6640625" style="3" customWidth="1"/>
    <col min="625" max="625" width="16.6640625" style="3" customWidth="1"/>
    <col min="626" max="626" width="22.109375" style="3" customWidth="1"/>
    <col min="627" max="627" width="34.33203125" style="3" customWidth="1"/>
    <col min="628" max="628" width="26.109375" style="3" customWidth="1"/>
    <col min="629" max="629" width="11" style="3" customWidth="1"/>
    <col min="630" max="630" width="24.5546875" style="3" customWidth="1"/>
    <col min="631" max="631" width="4.44140625" style="3" customWidth="1"/>
    <col min="632" max="639" width="10.6640625" style="3" customWidth="1"/>
    <col min="640" max="640" width="11.6640625" style="3" customWidth="1"/>
    <col min="641" max="641" width="10.6640625" style="3" customWidth="1"/>
    <col min="642" max="642" width="11.33203125" style="3" customWidth="1"/>
    <col min="643" max="643" width="10.6640625" style="3" customWidth="1"/>
    <col min="644" max="644" width="20.44140625" style="3" customWidth="1"/>
    <col min="645" max="645" width="11.33203125" style="3" customWidth="1"/>
    <col min="646" max="646" width="11" style="3" customWidth="1"/>
    <col min="647" max="648" width="12" style="3" customWidth="1"/>
    <col min="649" max="649" width="9.44140625" style="3" customWidth="1"/>
    <col min="650" max="650" width="10.6640625" style="3" customWidth="1"/>
    <col min="651" max="660" width="9" style="3" customWidth="1"/>
    <col min="661" max="661" width="20.44140625" style="3" customWidth="1"/>
    <col min="662" max="662" width="12.44140625" style="3" customWidth="1"/>
    <col min="663" max="663" width="13.109375" style="3" customWidth="1"/>
    <col min="664" max="676" width="11.44140625" style="3"/>
    <col min="677" max="677" width="16.109375" style="3" customWidth="1"/>
    <col min="678" max="678" width="16.44140625" style="3" customWidth="1"/>
    <col min="679" max="690" width="11.44140625" style="3"/>
    <col min="691" max="691" width="12.6640625" style="3" customWidth="1"/>
    <col min="692" max="692" width="12" style="3" customWidth="1"/>
    <col min="693" max="704" width="11.44140625" style="3"/>
    <col min="705" max="705" width="12.5546875" style="3" customWidth="1"/>
    <col min="706" max="706" width="14.6640625" style="3" customWidth="1"/>
    <col min="707" max="716" width="13.33203125" style="3" customWidth="1"/>
    <col min="717" max="717" width="16.33203125" style="3" customWidth="1"/>
    <col min="718" max="718" width="17" style="3" customWidth="1"/>
    <col min="719" max="719" width="15.44140625" style="3" customWidth="1"/>
    <col min="720" max="720" width="15.88671875" style="3" customWidth="1"/>
    <col min="721" max="721" width="13.33203125" style="3" bestFit="1" customWidth="1"/>
    <col min="722" max="732" width="11.44140625" style="3" customWidth="1"/>
    <col min="733" max="733" width="15.44140625" style="3" customWidth="1"/>
    <col min="734" max="734" width="15.88671875" style="3" customWidth="1"/>
    <col min="735" max="870" width="11.44140625" style="3"/>
    <col min="871" max="871" width="4.109375" style="3" customWidth="1"/>
    <col min="872" max="872" width="23.33203125" style="3" customWidth="1"/>
    <col min="873" max="873" width="13.44140625" style="3" customWidth="1"/>
    <col min="874" max="874" width="19" style="3" customWidth="1"/>
    <col min="875" max="875" width="10.5546875" style="3" customWidth="1"/>
    <col min="876" max="876" width="14.109375" style="3" bestFit="1" customWidth="1"/>
    <col min="877" max="877" width="16.88671875" style="3" customWidth="1"/>
    <col min="878" max="878" width="20.5546875" style="3" customWidth="1"/>
    <col min="879" max="879" width="5.109375" style="3" customWidth="1"/>
    <col min="880" max="880" width="5.6640625" style="3" customWidth="1"/>
    <col min="881" max="881" width="16.6640625" style="3" customWidth="1"/>
    <col min="882" max="882" width="22.109375" style="3" customWidth="1"/>
    <col min="883" max="883" width="34.33203125" style="3" customWidth="1"/>
    <col min="884" max="884" width="26.109375" style="3" customWidth="1"/>
    <col min="885" max="885" width="11" style="3" customWidth="1"/>
    <col min="886" max="886" width="24.5546875" style="3" customWidth="1"/>
    <col min="887" max="887" width="4.44140625" style="3" customWidth="1"/>
    <col min="888" max="895" width="10.6640625" style="3" customWidth="1"/>
    <col min="896" max="896" width="11.6640625" style="3" customWidth="1"/>
    <col min="897" max="897" width="10.6640625" style="3" customWidth="1"/>
    <col min="898" max="898" width="11.33203125" style="3" customWidth="1"/>
    <col min="899" max="899" width="10.6640625" style="3" customWidth="1"/>
    <col min="900" max="900" width="20.44140625" style="3" customWidth="1"/>
    <col min="901" max="901" width="11.33203125" style="3" customWidth="1"/>
    <col min="902" max="902" width="11" style="3" customWidth="1"/>
    <col min="903" max="904" width="12" style="3" customWidth="1"/>
    <col min="905" max="905" width="9.44140625" style="3" customWidth="1"/>
    <col min="906" max="906" width="10.6640625" style="3" customWidth="1"/>
    <col min="907" max="916" width="9" style="3" customWidth="1"/>
    <col min="917" max="917" width="20.44140625" style="3" customWidth="1"/>
    <col min="918" max="918" width="12.44140625" style="3" customWidth="1"/>
    <col min="919" max="919" width="13.109375" style="3" customWidth="1"/>
    <col min="920" max="932" width="11.44140625" style="3"/>
    <col min="933" max="933" width="16.109375" style="3" customWidth="1"/>
    <col min="934" max="934" width="16.44140625" style="3" customWidth="1"/>
    <col min="935" max="946" width="11.44140625" style="3"/>
    <col min="947" max="947" width="12.6640625" style="3" customWidth="1"/>
    <col min="948" max="948" width="12" style="3" customWidth="1"/>
    <col min="949" max="960" width="11.44140625" style="3"/>
    <col min="961" max="961" width="12.5546875" style="3" customWidth="1"/>
    <col min="962" max="962" width="14.6640625" style="3" customWidth="1"/>
    <col min="963" max="972" width="13.33203125" style="3" customWidth="1"/>
    <col min="973" max="973" width="16.33203125" style="3" customWidth="1"/>
    <col min="974" max="974" width="17" style="3" customWidth="1"/>
    <col min="975" max="975" width="15.44140625" style="3" customWidth="1"/>
    <col min="976" max="976" width="15.88671875" style="3" customWidth="1"/>
    <col min="977" max="977" width="13.33203125" style="3" bestFit="1" customWidth="1"/>
    <col min="978" max="988" width="11.44140625" style="3" customWidth="1"/>
    <col min="989" max="989" width="15.44140625" style="3" customWidth="1"/>
    <col min="990" max="990" width="15.88671875" style="3" customWidth="1"/>
    <col min="991" max="1126" width="11.44140625" style="3"/>
    <col min="1127" max="1127" width="4.109375" style="3" customWidth="1"/>
    <col min="1128" max="1128" width="23.33203125" style="3" customWidth="1"/>
    <col min="1129" max="1129" width="13.44140625" style="3" customWidth="1"/>
    <col min="1130" max="1130" width="19" style="3" customWidth="1"/>
    <col min="1131" max="1131" width="10.5546875" style="3" customWidth="1"/>
    <col min="1132" max="1132" width="14.109375" style="3" bestFit="1" customWidth="1"/>
    <col min="1133" max="1133" width="16.88671875" style="3" customWidth="1"/>
    <col min="1134" max="1134" width="20.5546875" style="3" customWidth="1"/>
    <col min="1135" max="1135" width="5.109375" style="3" customWidth="1"/>
    <col min="1136" max="1136" width="5.6640625" style="3" customWidth="1"/>
    <col min="1137" max="1137" width="16.6640625" style="3" customWidth="1"/>
    <col min="1138" max="1138" width="22.109375" style="3" customWidth="1"/>
    <col min="1139" max="1139" width="34.33203125" style="3" customWidth="1"/>
    <col min="1140" max="1140" width="26.109375" style="3" customWidth="1"/>
    <col min="1141" max="1141" width="11" style="3" customWidth="1"/>
    <col min="1142" max="1142" width="24.5546875" style="3" customWidth="1"/>
    <col min="1143" max="1143" width="4.44140625" style="3" customWidth="1"/>
    <col min="1144" max="1151" width="10.6640625" style="3" customWidth="1"/>
    <col min="1152" max="1152" width="11.6640625" style="3" customWidth="1"/>
    <col min="1153" max="1153" width="10.6640625" style="3" customWidth="1"/>
    <col min="1154" max="1154" width="11.33203125" style="3" customWidth="1"/>
    <col min="1155" max="1155" width="10.6640625" style="3" customWidth="1"/>
    <col min="1156" max="1156" width="20.44140625" style="3" customWidth="1"/>
    <col min="1157" max="1157" width="11.33203125" style="3" customWidth="1"/>
    <col min="1158" max="1158" width="11" style="3" customWidth="1"/>
    <col min="1159" max="1160" width="12" style="3" customWidth="1"/>
    <col min="1161" max="1161" width="9.44140625" style="3" customWidth="1"/>
    <col min="1162" max="1162" width="10.6640625" style="3" customWidth="1"/>
    <col min="1163" max="1172" width="9" style="3" customWidth="1"/>
    <col min="1173" max="1173" width="20.44140625" style="3" customWidth="1"/>
    <col min="1174" max="1174" width="12.44140625" style="3" customWidth="1"/>
    <col min="1175" max="1175" width="13.109375" style="3" customWidth="1"/>
    <col min="1176" max="1188" width="11.44140625" style="3"/>
    <col min="1189" max="1189" width="16.109375" style="3" customWidth="1"/>
    <col min="1190" max="1190" width="16.44140625" style="3" customWidth="1"/>
    <col min="1191" max="1202" width="11.44140625" style="3"/>
    <col min="1203" max="1203" width="12.6640625" style="3" customWidth="1"/>
    <col min="1204" max="1204" width="12" style="3" customWidth="1"/>
    <col min="1205" max="1216" width="11.44140625" style="3"/>
    <col min="1217" max="1217" width="12.5546875" style="3" customWidth="1"/>
    <col min="1218" max="1218" width="14.6640625" style="3" customWidth="1"/>
    <col min="1219" max="1228" width="13.33203125" style="3" customWidth="1"/>
    <col min="1229" max="1229" width="16.33203125" style="3" customWidth="1"/>
    <col min="1230" max="1230" width="17" style="3" customWidth="1"/>
    <col min="1231" max="1231" width="15.44140625" style="3" customWidth="1"/>
    <col min="1232" max="1232" width="15.88671875" style="3" customWidth="1"/>
    <col min="1233" max="1233" width="13.33203125" style="3" bestFit="1" customWidth="1"/>
    <col min="1234" max="1244" width="11.44140625" style="3" customWidth="1"/>
    <col min="1245" max="1245" width="15.44140625" style="3" customWidth="1"/>
    <col min="1246" max="1246" width="15.88671875" style="3" customWidth="1"/>
    <col min="1247" max="1382" width="11.44140625" style="3"/>
    <col min="1383" max="1383" width="4.109375" style="3" customWidth="1"/>
    <col min="1384" max="1384" width="23.33203125" style="3" customWidth="1"/>
    <col min="1385" max="1385" width="13.44140625" style="3" customWidth="1"/>
    <col min="1386" max="1386" width="19" style="3" customWidth="1"/>
    <col min="1387" max="1387" width="10.5546875" style="3" customWidth="1"/>
    <col min="1388" max="1388" width="14.109375" style="3" bestFit="1" customWidth="1"/>
    <col min="1389" max="1389" width="16.88671875" style="3" customWidth="1"/>
    <col min="1390" max="1390" width="20.5546875" style="3" customWidth="1"/>
    <col min="1391" max="1391" width="5.109375" style="3" customWidth="1"/>
    <col min="1392" max="1392" width="5.6640625" style="3" customWidth="1"/>
    <col min="1393" max="1393" width="16.6640625" style="3" customWidth="1"/>
    <col min="1394" max="1394" width="22.109375" style="3" customWidth="1"/>
    <col min="1395" max="1395" width="34.33203125" style="3" customWidth="1"/>
    <col min="1396" max="1396" width="26.109375" style="3" customWidth="1"/>
    <col min="1397" max="1397" width="11" style="3" customWidth="1"/>
    <col min="1398" max="1398" width="24.5546875" style="3" customWidth="1"/>
    <col min="1399" max="1399" width="4.44140625" style="3" customWidth="1"/>
    <col min="1400" max="1407" width="10.6640625" style="3" customWidth="1"/>
    <col min="1408" max="1408" width="11.6640625" style="3" customWidth="1"/>
    <col min="1409" max="1409" width="10.6640625" style="3" customWidth="1"/>
    <col min="1410" max="1410" width="11.33203125" style="3" customWidth="1"/>
    <col min="1411" max="1411" width="10.6640625" style="3" customWidth="1"/>
    <col min="1412" max="1412" width="20.44140625" style="3" customWidth="1"/>
    <col min="1413" max="1413" width="11.33203125" style="3" customWidth="1"/>
    <col min="1414" max="1414" width="11" style="3" customWidth="1"/>
    <col min="1415" max="1416" width="12" style="3" customWidth="1"/>
    <col min="1417" max="1417" width="9.44140625" style="3" customWidth="1"/>
    <col min="1418" max="1418" width="10.6640625" style="3" customWidth="1"/>
    <col min="1419" max="1428" width="9" style="3" customWidth="1"/>
    <col min="1429" max="1429" width="20.44140625" style="3" customWidth="1"/>
    <col min="1430" max="1430" width="12.44140625" style="3" customWidth="1"/>
    <col min="1431" max="1431" width="13.109375" style="3" customWidth="1"/>
    <col min="1432" max="1444" width="11.44140625" style="3"/>
    <col min="1445" max="1445" width="16.109375" style="3" customWidth="1"/>
    <col min="1446" max="1446" width="16.44140625" style="3" customWidth="1"/>
    <col min="1447" max="1458" width="11.44140625" style="3"/>
    <col min="1459" max="1459" width="12.6640625" style="3" customWidth="1"/>
    <col min="1460" max="1460" width="12" style="3" customWidth="1"/>
    <col min="1461" max="1472" width="11.44140625" style="3"/>
    <col min="1473" max="1473" width="12.5546875" style="3" customWidth="1"/>
    <col min="1474" max="1474" width="14.6640625" style="3" customWidth="1"/>
    <col min="1475" max="1484" width="13.33203125" style="3" customWidth="1"/>
    <col min="1485" max="1485" width="16.33203125" style="3" customWidth="1"/>
    <col min="1486" max="1486" width="17" style="3" customWidth="1"/>
    <col min="1487" max="1487" width="15.44140625" style="3" customWidth="1"/>
    <col min="1488" max="1488" width="15.88671875" style="3" customWidth="1"/>
    <col min="1489" max="1489" width="13.33203125" style="3" bestFit="1" customWidth="1"/>
    <col min="1490" max="1500" width="11.44140625" style="3" customWidth="1"/>
    <col min="1501" max="1501" width="15.44140625" style="3" customWidth="1"/>
    <col min="1502" max="1502" width="15.88671875" style="3" customWidth="1"/>
    <col min="1503" max="1638" width="11.44140625" style="3"/>
    <col min="1639" max="1639" width="4.109375" style="3" customWidth="1"/>
    <col min="1640" max="1640" width="23.33203125" style="3" customWidth="1"/>
    <col min="1641" max="1641" width="13.44140625" style="3" customWidth="1"/>
    <col min="1642" max="1642" width="19" style="3" customWidth="1"/>
    <col min="1643" max="1643" width="10.5546875" style="3" customWidth="1"/>
    <col min="1644" max="1644" width="14.109375" style="3" bestFit="1" customWidth="1"/>
    <col min="1645" max="1645" width="16.88671875" style="3" customWidth="1"/>
    <col min="1646" max="1646" width="20.5546875" style="3" customWidth="1"/>
    <col min="1647" max="1647" width="5.109375" style="3" customWidth="1"/>
    <col min="1648" max="1648" width="5.6640625" style="3" customWidth="1"/>
    <col min="1649" max="1649" width="16.6640625" style="3" customWidth="1"/>
    <col min="1650" max="1650" width="22.109375" style="3" customWidth="1"/>
    <col min="1651" max="1651" width="34.33203125" style="3" customWidth="1"/>
    <col min="1652" max="1652" width="26.109375" style="3" customWidth="1"/>
    <col min="1653" max="1653" width="11" style="3" customWidth="1"/>
    <col min="1654" max="1654" width="24.5546875" style="3" customWidth="1"/>
    <col min="1655" max="1655" width="4.44140625" style="3" customWidth="1"/>
    <col min="1656" max="1663" width="10.6640625" style="3" customWidth="1"/>
    <col min="1664" max="1664" width="11.6640625" style="3" customWidth="1"/>
    <col min="1665" max="1665" width="10.6640625" style="3" customWidth="1"/>
    <col min="1666" max="1666" width="11.33203125" style="3" customWidth="1"/>
    <col min="1667" max="1667" width="10.6640625" style="3" customWidth="1"/>
    <col min="1668" max="1668" width="20.44140625" style="3" customWidth="1"/>
    <col min="1669" max="1669" width="11.33203125" style="3" customWidth="1"/>
    <col min="1670" max="1670" width="11" style="3" customWidth="1"/>
    <col min="1671" max="1672" width="12" style="3" customWidth="1"/>
    <col min="1673" max="1673" width="9.44140625" style="3" customWidth="1"/>
    <col min="1674" max="1674" width="10.6640625" style="3" customWidth="1"/>
    <col min="1675" max="1684" width="9" style="3" customWidth="1"/>
    <col min="1685" max="1685" width="20.44140625" style="3" customWidth="1"/>
    <col min="1686" max="1686" width="12.44140625" style="3" customWidth="1"/>
    <col min="1687" max="1687" width="13.109375" style="3" customWidth="1"/>
    <col min="1688" max="1700" width="11.44140625" style="3"/>
    <col min="1701" max="1701" width="16.109375" style="3" customWidth="1"/>
    <col min="1702" max="1702" width="16.44140625" style="3" customWidth="1"/>
    <col min="1703" max="1714" width="11.44140625" style="3"/>
    <col min="1715" max="1715" width="12.6640625" style="3" customWidth="1"/>
    <col min="1716" max="1716" width="12" style="3" customWidth="1"/>
    <col min="1717" max="1728" width="11.44140625" style="3"/>
    <col min="1729" max="1729" width="12.5546875" style="3" customWidth="1"/>
    <col min="1730" max="1730" width="14.6640625" style="3" customWidth="1"/>
    <col min="1731" max="1740" width="13.33203125" style="3" customWidth="1"/>
    <col min="1741" max="1741" width="16.33203125" style="3" customWidth="1"/>
    <col min="1742" max="1742" width="17" style="3" customWidth="1"/>
    <col min="1743" max="1743" width="15.44140625" style="3" customWidth="1"/>
    <col min="1744" max="1744" width="15.88671875" style="3" customWidth="1"/>
    <col min="1745" max="1745" width="13.33203125" style="3" bestFit="1" customWidth="1"/>
    <col min="1746" max="1756" width="11.44140625" style="3" customWidth="1"/>
    <col min="1757" max="1757" width="15.44140625" style="3" customWidth="1"/>
    <col min="1758" max="1758" width="15.88671875" style="3" customWidth="1"/>
    <col min="1759" max="1894" width="11.44140625" style="3"/>
    <col min="1895" max="1895" width="4.109375" style="3" customWidth="1"/>
    <col min="1896" max="1896" width="23.33203125" style="3" customWidth="1"/>
    <col min="1897" max="1897" width="13.44140625" style="3" customWidth="1"/>
    <col min="1898" max="1898" width="19" style="3" customWidth="1"/>
    <col min="1899" max="1899" width="10.5546875" style="3" customWidth="1"/>
    <col min="1900" max="1900" width="14.109375" style="3" bestFit="1" customWidth="1"/>
    <col min="1901" max="1901" width="16.88671875" style="3" customWidth="1"/>
    <col min="1902" max="1902" width="20.5546875" style="3" customWidth="1"/>
    <col min="1903" max="1903" width="5.109375" style="3" customWidth="1"/>
    <col min="1904" max="1904" width="5.6640625" style="3" customWidth="1"/>
    <col min="1905" max="1905" width="16.6640625" style="3" customWidth="1"/>
    <col min="1906" max="1906" width="22.109375" style="3" customWidth="1"/>
    <col min="1907" max="1907" width="34.33203125" style="3" customWidth="1"/>
    <col min="1908" max="1908" width="26.109375" style="3" customWidth="1"/>
    <col min="1909" max="1909" width="11" style="3" customWidth="1"/>
    <col min="1910" max="1910" width="24.5546875" style="3" customWidth="1"/>
    <col min="1911" max="1911" width="4.44140625" style="3" customWidth="1"/>
    <col min="1912" max="1919" width="10.6640625" style="3" customWidth="1"/>
    <col min="1920" max="1920" width="11.6640625" style="3" customWidth="1"/>
    <col min="1921" max="1921" width="10.6640625" style="3" customWidth="1"/>
    <col min="1922" max="1922" width="11.33203125" style="3" customWidth="1"/>
    <col min="1923" max="1923" width="10.6640625" style="3" customWidth="1"/>
    <col min="1924" max="1924" width="20.44140625" style="3" customWidth="1"/>
    <col min="1925" max="1925" width="11.33203125" style="3" customWidth="1"/>
    <col min="1926" max="1926" width="11" style="3" customWidth="1"/>
    <col min="1927" max="1928" width="12" style="3" customWidth="1"/>
    <col min="1929" max="1929" width="9.44140625" style="3" customWidth="1"/>
    <col min="1930" max="1930" width="10.6640625" style="3" customWidth="1"/>
    <col min="1931" max="1940" width="9" style="3" customWidth="1"/>
    <col min="1941" max="1941" width="20.44140625" style="3" customWidth="1"/>
    <col min="1942" max="1942" width="12.44140625" style="3" customWidth="1"/>
    <col min="1943" max="1943" width="13.109375" style="3" customWidth="1"/>
    <col min="1944" max="1956" width="11.44140625" style="3"/>
    <col min="1957" max="1957" width="16.109375" style="3" customWidth="1"/>
    <col min="1958" max="1958" width="16.44140625" style="3" customWidth="1"/>
    <col min="1959" max="1970" width="11.44140625" style="3"/>
    <col min="1971" max="1971" width="12.6640625" style="3" customWidth="1"/>
    <col min="1972" max="1972" width="12" style="3" customWidth="1"/>
    <col min="1973" max="1984" width="11.44140625" style="3"/>
    <col min="1985" max="1985" width="12.5546875" style="3" customWidth="1"/>
    <col min="1986" max="1986" width="14.6640625" style="3" customWidth="1"/>
    <col min="1987" max="1996" width="13.33203125" style="3" customWidth="1"/>
    <col min="1997" max="1997" width="16.33203125" style="3" customWidth="1"/>
    <col min="1998" max="1998" width="17" style="3" customWidth="1"/>
    <col min="1999" max="1999" width="15.44140625" style="3" customWidth="1"/>
    <col min="2000" max="2000" width="15.88671875" style="3" customWidth="1"/>
    <col min="2001" max="2001" width="13.33203125" style="3" bestFit="1" customWidth="1"/>
    <col min="2002" max="2012" width="11.44140625" style="3" customWidth="1"/>
    <col min="2013" max="2013" width="15.44140625" style="3" customWidth="1"/>
    <col min="2014" max="2014" width="15.88671875" style="3" customWidth="1"/>
    <col min="2015" max="2150" width="11.44140625" style="3"/>
    <col min="2151" max="2151" width="4.109375" style="3" customWidth="1"/>
    <col min="2152" max="2152" width="23.33203125" style="3" customWidth="1"/>
    <col min="2153" max="2153" width="13.44140625" style="3" customWidth="1"/>
    <col min="2154" max="2154" width="19" style="3" customWidth="1"/>
    <col min="2155" max="2155" width="10.5546875" style="3" customWidth="1"/>
    <col min="2156" max="2156" width="14.109375" style="3" bestFit="1" customWidth="1"/>
    <col min="2157" max="2157" width="16.88671875" style="3" customWidth="1"/>
    <col min="2158" max="2158" width="20.5546875" style="3" customWidth="1"/>
    <col min="2159" max="2159" width="5.109375" style="3" customWidth="1"/>
    <col min="2160" max="2160" width="5.6640625" style="3" customWidth="1"/>
    <col min="2161" max="2161" width="16.6640625" style="3" customWidth="1"/>
    <col min="2162" max="2162" width="22.109375" style="3" customWidth="1"/>
    <col min="2163" max="2163" width="34.33203125" style="3" customWidth="1"/>
    <col min="2164" max="2164" width="26.109375" style="3" customWidth="1"/>
    <col min="2165" max="2165" width="11" style="3" customWidth="1"/>
    <col min="2166" max="2166" width="24.5546875" style="3" customWidth="1"/>
    <col min="2167" max="2167" width="4.44140625" style="3" customWidth="1"/>
    <col min="2168" max="2175" width="10.6640625" style="3" customWidth="1"/>
    <col min="2176" max="2176" width="11.6640625" style="3" customWidth="1"/>
    <col min="2177" max="2177" width="10.6640625" style="3" customWidth="1"/>
    <col min="2178" max="2178" width="11.33203125" style="3" customWidth="1"/>
    <col min="2179" max="2179" width="10.6640625" style="3" customWidth="1"/>
    <col min="2180" max="2180" width="20.44140625" style="3" customWidth="1"/>
    <col min="2181" max="2181" width="11.33203125" style="3" customWidth="1"/>
    <col min="2182" max="2182" width="11" style="3" customWidth="1"/>
    <col min="2183" max="2184" width="12" style="3" customWidth="1"/>
    <col min="2185" max="2185" width="9.44140625" style="3" customWidth="1"/>
    <col min="2186" max="2186" width="10.6640625" style="3" customWidth="1"/>
    <col min="2187" max="2196" width="9" style="3" customWidth="1"/>
    <col min="2197" max="2197" width="20.44140625" style="3" customWidth="1"/>
    <col min="2198" max="2198" width="12.44140625" style="3" customWidth="1"/>
    <col min="2199" max="2199" width="13.109375" style="3" customWidth="1"/>
    <col min="2200" max="2212" width="11.44140625" style="3"/>
    <col min="2213" max="2213" width="16.109375" style="3" customWidth="1"/>
    <col min="2214" max="2214" width="16.44140625" style="3" customWidth="1"/>
    <col min="2215" max="2226" width="11.44140625" style="3"/>
    <col min="2227" max="2227" width="12.6640625" style="3" customWidth="1"/>
    <col min="2228" max="2228" width="12" style="3" customWidth="1"/>
    <col min="2229" max="2240" width="11.44140625" style="3"/>
    <col min="2241" max="2241" width="12.5546875" style="3" customWidth="1"/>
    <col min="2242" max="2242" width="14.6640625" style="3" customWidth="1"/>
    <col min="2243" max="2252" width="13.33203125" style="3" customWidth="1"/>
    <col min="2253" max="2253" width="16.33203125" style="3" customWidth="1"/>
    <col min="2254" max="2254" width="17" style="3" customWidth="1"/>
    <col min="2255" max="2255" width="15.44140625" style="3" customWidth="1"/>
    <col min="2256" max="2256" width="15.88671875" style="3" customWidth="1"/>
    <col min="2257" max="2257" width="13.33203125" style="3" bestFit="1" customWidth="1"/>
    <col min="2258" max="2268" width="11.44140625" style="3" customWidth="1"/>
    <col min="2269" max="2269" width="15.44140625" style="3" customWidth="1"/>
    <col min="2270" max="2270" width="15.88671875" style="3" customWidth="1"/>
    <col min="2271" max="2406" width="11.44140625" style="3"/>
    <col min="2407" max="2407" width="4.109375" style="3" customWidth="1"/>
    <col min="2408" max="2408" width="23.33203125" style="3" customWidth="1"/>
    <col min="2409" max="2409" width="13.44140625" style="3" customWidth="1"/>
    <col min="2410" max="2410" width="19" style="3" customWidth="1"/>
    <col min="2411" max="2411" width="10.5546875" style="3" customWidth="1"/>
    <col min="2412" max="2412" width="14.109375" style="3" bestFit="1" customWidth="1"/>
    <col min="2413" max="2413" width="16.88671875" style="3" customWidth="1"/>
    <col min="2414" max="2414" width="20.5546875" style="3" customWidth="1"/>
    <col min="2415" max="2415" width="5.109375" style="3" customWidth="1"/>
    <col min="2416" max="2416" width="5.6640625" style="3" customWidth="1"/>
    <col min="2417" max="2417" width="16.6640625" style="3" customWidth="1"/>
    <col min="2418" max="2418" width="22.109375" style="3" customWidth="1"/>
    <col min="2419" max="2419" width="34.33203125" style="3" customWidth="1"/>
    <col min="2420" max="2420" width="26.109375" style="3" customWidth="1"/>
    <col min="2421" max="2421" width="11" style="3" customWidth="1"/>
    <col min="2422" max="2422" width="24.5546875" style="3" customWidth="1"/>
    <col min="2423" max="2423" width="4.44140625" style="3" customWidth="1"/>
    <col min="2424" max="2431" width="10.6640625" style="3" customWidth="1"/>
    <col min="2432" max="2432" width="11.6640625" style="3" customWidth="1"/>
    <col min="2433" max="2433" width="10.6640625" style="3" customWidth="1"/>
    <col min="2434" max="2434" width="11.33203125" style="3" customWidth="1"/>
    <col min="2435" max="2435" width="10.6640625" style="3" customWidth="1"/>
    <col min="2436" max="2436" width="20.44140625" style="3" customWidth="1"/>
    <col min="2437" max="2437" width="11.33203125" style="3" customWidth="1"/>
    <col min="2438" max="2438" width="11" style="3" customWidth="1"/>
    <col min="2439" max="2440" width="12" style="3" customWidth="1"/>
    <col min="2441" max="2441" width="9.44140625" style="3" customWidth="1"/>
    <col min="2442" max="2442" width="10.6640625" style="3" customWidth="1"/>
    <col min="2443" max="2452" width="9" style="3" customWidth="1"/>
    <col min="2453" max="2453" width="20.44140625" style="3" customWidth="1"/>
    <col min="2454" max="2454" width="12.44140625" style="3" customWidth="1"/>
    <col min="2455" max="2455" width="13.109375" style="3" customWidth="1"/>
    <col min="2456" max="2468" width="11.44140625" style="3"/>
    <col min="2469" max="2469" width="16.109375" style="3" customWidth="1"/>
    <col min="2470" max="2470" width="16.44140625" style="3" customWidth="1"/>
    <col min="2471" max="2482" width="11.44140625" style="3"/>
    <col min="2483" max="2483" width="12.6640625" style="3" customWidth="1"/>
    <col min="2484" max="2484" width="12" style="3" customWidth="1"/>
    <col min="2485" max="2496" width="11.44140625" style="3"/>
    <col min="2497" max="2497" width="12.5546875" style="3" customWidth="1"/>
    <col min="2498" max="2498" width="14.6640625" style="3" customWidth="1"/>
    <col min="2499" max="2508" width="13.33203125" style="3" customWidth="1"/>
    <col min="2509" max="2509" width="16.33203125" style="3" customWidth="1"/>
    <col min="2510" max="2510" width="17" style="3" customWidth="1"/>
    <col min="2511" max="2511" width="15.44140625" style="3" customWidth="1"/>
    <col min="2512" max="2512" width="15.88671875" style="3" customWidth="1"/>
    <col min="2513" max="2513" width="13.33203125" style="3" bestFit="1" customWidth="1"/>
    <col min="2514" max="2524" width="11.44140625" style="3" customWidth="1"/>
    <col min="2525" max="2525" width="15.44140625" style="3" customWidth="1"/>
    <col min="2526" max="2526" width="15.88671875" style="3" customWidth="1"/>
    <col min="2527" max="2662" width="11.44140625" style="3"/>
    <col min="2663" max="2663" width="4.109375" style="3" customWidth="1"/>
    <col min="2664" max="2664" width="23.33203125" style="3" customWidth="1"/>
    <col min="2665" max="2665" width="13.44140625" style="3" customWidth="1"/>
    <col min="2666" max="2666" width="19" style="3" customWidth="1"/>
    <col min="2667" max="2667" width="10.5546875" style="3" customWidth="1"/>
    <col min="2668" max="2668" width="14.109375" style="3" bestFit="1" customWidth="1"/>
    <col min="2669" max="2669" width="16.88671875" style="3" customWidth="1"/>
    <col min="2670" max="2670" width="20.5546875" style="3" customWidth="1"/>
    <col min="2671" max="2671" width="5.109375" style="3" customWidth="1"/>
    <col min="2672" max="2672" width="5.6640625" style="3" customWidth="1"/>
    <col min="2673" max="2673" width="16.6640625" style="3" customWidth="1"/>
    <col min="2674" max="2674" width="22.109375" style="3" customWidth="1"/>
    <col min="2675" max="2675" width="34.33203125" style="3" customWidth="1"/>
    <col min="2676" max="2676" width="26.109375" style="3" customWidth="1"/>
    <col min="2677" max="2677" width="11" style="3" customWidth="1"/>
    <col min="2678" max="2678" width="24.5546875" style="3" customWidth="1"/>
    <col min="2679" max="2679" width="4.44140625" style="3" customWidth="1"/>
    <col min="2680" max="2687" width="10.6640625" style="3" customWidth="1"/>
    <col min="2688" max="2688" width="11.6640625" style="3" customWidth="1"/>
    <col min="2689" max="2689" width="10.6640625" style="3" customWidth="1"/>
    <col min="2690" max="2690" width="11.33203125" style="3" customWidth="1"/>
    <col min="2691" max="2691" width="10.6640625" style="3" customWidth="1"/>
    <col min="2692" max="2692" width="20.44140625" style="3" customWidth="1"/>
    <col min="2693" max="2693" width="11.33203125" style="3" customWidth="1"/>
    <col min="2694" max="2694" width="11" style="3" customWidth="1"/>
    <col min="2695" max="2696" width="12" style="3" customWidth="1"/>
    <col min="2697" max="2697" width="9.44140625" style="3" customWidth="1"/>
    <col min="2698" max="2698" width="10.6640625" style="3" customWidth="1"/>
    <col min="2699" max="2708" width="9" style="3" customWidth="1"/>
    <col min="2709" max="2709" width="20.44140625" style="3" customWidth="1"/>
    <col min="2710" max="2710" width="12.44140625" style="3" customWidth="1"/>
    <col min="2711" max="2711" width="13.109375" style="3" customWidth="1"/>
    <col min="2712" max="2724" width="11.44140625" style="3"/>
    <col min="2725" max="2725" width="16.109375" style="3" customWidth="1"/>
    <col min="2726" max="2726" width="16.44140625" style="3" customWidth="1"/>
    <col min="2727" max="2738" width="11.44140625" style="3"/>
    <col min="2739" max="2739" width="12.6640625" style="3" customWidth="1"/>
    <col min="2740" max="2740" width="12" style="3" customWidth="1"/>
    <col min="2741" max="2752" width="11.44140625" style="3"/>
    <col min="2753" max="2753" width="12.5546875" style="3" customWidth="1"/>
    <col min="2754" max="2754" width="14.6640625" style="3" customWidth="1"/>
    <col min="2755" max="2764" width="13.33203125" style="3" customWidth="1"/>
    <col min="2765" max="2765" width="16.33203125" style="3" customWidth="1"/>
    <col min="2766" max="2766" width="17" style="3" customWidth="1"/>
    <col min="2767" max="2767" width="15.44140625" style="3" customWidth="1"/>
    <col min="2768" max="2768" width="15.88671875" style="3" customWidth="1"/>
    <col min="2769" max="2769" width="13.33203125" style="3" bestFit="1" customWidth="1"/>
    <col min="2770" max="2780" width="11.44140625" style="3" customWidth="1"/>
    <col min="2781" max="2781" width="15.44140625" style="3" customWidth="1"/>
    <col min="2782" max="2782" width="15.88671875" style="3" customWidth="1"/>
    <col min="2783" max="2918" width="11.44140625" style="3"/>
    <col min="2919" max="2919" width="4.109375" style="3" customWidth="1"/>
    <col min="2920" max="2920" width="23.33203125" style="3" customWidth="1"/>
    <col min="2921" max="2921" width="13.44140625" style="3" customWidth="1"/>
    <col min="2922" max="2922" width="19" style="3" customWidth="1"/>
    <col min="2923" max="2923" width="10.5546875" style="3" customWidth="1"/>
    <col min="2924" max="2924" width="14.109375" style="3" bestFit="1" customWidth="1"/>
    <col min="2925" max="2925" width="16.88671875" style="3" customWidth="1"/>
    <col min="2926" max="2926" width="20.5546875" style="3" customWidth="1"/>
    <col min="2927" max="2927" width="5.109375" style="3" customWidth="1"/>
    <col min="2928" max="2928" width="5.6640625" style="3" customWidth="1"/>
    <col min="2929" max="2929" width="16.6640625" style="3" customWidth="1"/>
    <col min="2930" max="2930" width="22.109375" style="3" customWidth="1"/>
    <col min="2931" max="2931" width="34.33203125" style="3" customWidth="1"/>
    <col min="2932" max="2932" width="26.109375" style="3" customWidth="1"/>
    <col min="2933" max="2933" width="11" style="3" customWidth="1"/>
    <col min="2934" max="2934" width="24.5546875" style="3" customWidth="1"/>
    <col min="2935" max="2935" width="4.44140625" style="3" customWidth="1"/>
    <col min="2936" max="2943" width="10.6640625" style="3" customWidth="1"/>
    <col min="2944" max="2944" width="11.6640625" style="3" customWidth="1"/>
    <col min="2945" max="2945" width="10.6640625" style="3" customWidth="1"/>
    <col min="2946" max="2946" width="11.33203125" style="3" customWidth="1"/>
    <col min="2947" max="2947" width="10.6640625" style="3" customWidth="1"/>
    <col min="2948" max="2948" width="20.44140625" style="3" customWidth="1"/>
    <col min="2949" max="2949" width="11.33203125" style="3" customWidth="1"/>
    <col min="2950" max="2950" width="11" style="3" customWidth="1"/>
    <col min="2951" max="2952" width="12" style="3" customWidth="1"/>
    <col min="2953" max="2953" width="9.44140625" style="3" customWidth="1"/>
    <col min="2954" max="2954" width="10.6640625" style="3" customWidth="1"/>
    <col min="2955" max="2964" width="9" style="3" customWidth="1"/>
    <col min="2965" max="2965" width="20.44140625" style="3" customWidth="1"/>
    <col min="2966" max="2966" width="12.44140625" style="3" customWidth="1"/>
    <col min="2967" max="2967" width="13.109375" style="3" customWidth="1"/>
    <col min="2968" max="2980" width="11.44140625" style="3"/>
    <col min="2981" max="2981" width="16.109375" style="3" customWidth="1"/>
    <col min="2982" max="2982" width="16.44140625" style="3" customWidth="1"/>
    <col min="2983" max="2994" width="11.44140625" style="3"/>
    <col min="2995" max="2995" width="12.6640625" style="3" customWidth="1"/>
    <col min="2996" max="2996" width="12" style="3" customWidth="1"/>
    <col min="2997" max="3008" width="11.44140625" style="3"/>
    <col min="3009" max="3009" width="12.5546875" style="3" customWidth="1"/>
    <col min="3010" max="3010" width="14.6640625" style="3" customWidth="1"/>
    <col min="3011" max="3020" width="13.33203125" style="3" customWidth="1"/>
    <col min="3021" max="3021" width="16.33203125" style="3" customWidth="1"/>
    <col min="3022" max="3022" width="17" style="3" customWidth="1"/>
    <col min="3023" max="3023" width="15.44140625" style="3" customWidth="1"/>
    <col min="3024" max="3024" width="15.88671875" style="3" customWidth="1"/>
    <col min="3025" max="3025" width="13.33203125" style="3" bestFit="1" customWidth="1"/>
    <col min="3026" max="3036" width="11.44140625" style="3" customWidth="1"/>
    <col min="3037" max="3037" width="15.44140625" style="3" customWidth="1"/>
    <col min="3038" max="3038" width="15.88671875" style="3" customWidth="1"/>
    <col min="3039" max="3174" width="11.44140625" style="3"/>
    <col min="3175" max="3175" width="4.109375" style="3" customWidth="1"/>
    <col min="3176" max="3176" width="23.33203125" style="3" customWidth="1"/>
    <col min="3177" max="3177" width="13.44140625" style="3" customWidth="1"/>
    <col min="3178" max="3178" width="19" style="3" customWidth="1"/>
    <col min="3179" max="3179" width="10.5546875" style="3" customWidth="1"/>
    <col min="3180" max="3180" width="14.109375" style="3" bestFit="1" customWidth="1"/>
    <col min="3181" max="3181" width="16.88671875" style="3" customWidth="1"/>
    <col min="3182" max="3182" width="20.5546875" style="3" customWidth="1"/>
    <col min="3183" max="3183" width="5.109375" style="3" customWidth="1"/>
    <col min="3184" max="3184" width="5.6640625" style="3" customWidth="1"/>
    <col min="3185" max="3185" width="16.6640625" style="3" customWidth="1"/>
    <col min="3186" max="3186" width="22.109375" style="3" customWidth="1"/>
    <col min="3187" max="3187" width="34.33203125" style="3" customWidth="1"/>
    <col min="3188" max="3188" width="26.109375" style="3" customWidth="1"/>
    <col min="3189" max="3189" width="11" style="3" customWidth="1"/>
    <col min="3190" max="3190" width="24.5546875" style="3" customWidth="1"/>
    <col min="3191" max="3191" width="4.44140625" style="3" customWidth="1"/>
    <col min="3192" max="3199" width="10.6640625" style="3" customWidth="1"/>
    <col min="3200" max="3200" width="11.6640625" style="3" customWidth="1"/>
    <col min="3201" max="3201" width="10.6640625" style="3" customWidth="1"/>
    <col min="3202" max="3202" width="11.33203125" style="3" customWidth="1"/>
    <col min="3203" max="3203" width="10.6640625" style="3" customWidth="1"/>
    <col min="3204" max="3204" width="20.44140625" style="3" customWidth="1"/>
    <col min="3205" max="3205" width="11.33203125" style="3" customWidth="1"/>
    <col min="3206" max="3206" width="11" style="3" customWidth="1"/>
    <col min="3207" max="3208" width="12" style="3" customWidth="1"/>
    <col min="3209" max="3209" width="9.44140625" style="3" customWidth="1"/>
    <col min="3210" max="3210" width="10.6640625" style="3" customWidth="1"/>
    <col min="3211" max="3220" width="9" style="3" customWidth="1"/>
    <col min="3221" max="3221" width="20.44140625" style="3" customWidth="1"/>
    <col min="3222" max="3222" width="12.44140625" style="3" customWidth="1"/>
    <col min="3223" max="3223" width="13.109375" style="3" customWidth="1"/>
    <col min="3224" max="3236" width="11.44140625" style="3"/>
    <col min="3237" max="3237" width="16.109375" style="3" customWidth="1"/>
    <col min="3238" max="3238" width="16.44140625" style="3" customWidth="1"/>
    <col min="3239" max="3250" width="11.44140625" style="3"/>
    <col min="3251" max="3251" width="12.6640625" style="3" customWidth="1"/>
    <col min="3252" max="3252" width="12" style="3" customWidth="1"/>
    <col min="3253" max="3264" width="11.44140625" style="3"/>
    <col min="3265" max="3265" width="12.5546875" style="3" customWidth="1"/>
    <col min="3266" max="3266" width="14.6640625" style="3" customWidth="1"/>
    <col min="3267" max="3276" width="13.33203125" style="3" customWidth="1"/>
    <col min="3277" max="3277" width="16.33203125" style="3" customWidth="1"/>
    <col min="3278" max="3278" width="17" style="3" customWidth="1"/>
    <col min="3279" max="3279" width="15.44140625" style="3" customWidth="1"/>
    <col min="3280" max="3280" width="15.88671875" style="3" customWidth="1"/>
    <col min="3281" max="3281" width="13.33203125" style="3" bestFit="1" customWidth="1"/>
    <col min="3282" max="3292" width="11.44140625" style="3" customWidth="1"/>
    <col min="3293" max="3293" width="15.44140625" style="3" customWidth="1"/>
    <col min="3294" max="3294" width="15.88671875" style="3" customWidth="1"/>
    <col min="3295" max="3430" width="11.44140625" style="3"/>
    <col min="3431" max="3431" width="4.109375" style="3" customWidth="1"/>
    <col min="3432" max="3432" width="23.33203125" style="3" customWidth="1"/>
    <col min="3433" max="3433" width="13.44140625" style="3" customWidth="1"/>
    <col min="3434" max="3434" width="19" style="3" customWidth="1"/>
    <col min="3435" max="3435" width="10.5546875" style="3" customWidth="1"/>
    <col min="3436" max="3436" width="14.109375" style="3" bestFit="1" customWidth="1"/>
    <col min="3437" max="3437" width="16.88671875" style="3" customWidth="1"/>
    <col min="3438" max="3438" width="20.5546875" style="3" customWidth="1"/>
    <col min="3439" max="3439" width="5.109375" style="3" customWidth="1"/>
    <col min="3440" max="3440" width="5.6640625" style="3" customWidth="1"/>
    <col min="3441" max="3441" width="16.6640625" style="3" customWidth="1"/>
    <col min="3442" max="3442" width="22.109375" style="3" customWidth="1"/>
    <col min="3443" max="3443" width="34.33203125" style="3" customWidth="1"/>
    <col min="3444" max="3444" width="26.109375" style="3" customWidth="1"/>
    <col min="3445" max="3445" width="11" style="3" customWidth="1"/>
    <col min="3446" max="3446" width="24.5546875" style="3" customWidth="1"/>
    <col min="3447" max="3447" width="4.44140625" style="3" customWidth="1"/>
    <col min="3448" max="3455" width="10.6640625" style="3" customWidth="1"/>
    <col min="3456" max="3456" width="11.6640625" style="3" customWidth="1"/>
    <col min="3457" max="3457" width="10.6640625" style="3" customWidth="1"/>
    <col min="3458" max="3458" width="11.33203125" style="3" customWidth="1"/>
    <col min="3459" max="3459" width="10.6640625" style="3" customWidth="1"/>
    <col min="3460" max="3460" width="20.44140625" style="3" customWidth="1"/>
    <col min="3461" max="3461" width="11.33203125" style="3" customWidth="1"/>
    <col min="3462" max="3462" width="11" style="3" customWidth="1"/>
    <col min="3463" max="3464" width="12" style="3" customWidth="1"/>
    <col min="3465" max="3465" width="9.44140625" style="3" customWidth="1"/>
    <col min="3466" max="3466" width="10.6640625" style="3" customWidth="1"/>
    <col min="3467" max="3476" width="9" style="3" customWidth="1"/>
    <col min="3477" max="3477" width="20.44140625" style="3" customWidth="1"/>
    <col min="3478" max="3478" width="12.44140625" style="3" customWidth="1"/>
    <col min="3479" max="3479" width="13.109375" style="3" customWidth="1"/>
    <col min="3480" max="3492" width="11.44140625" style="3"/>
    <col min="3493" max="3493" width="16.109375" style="3" customWidth="1"/>
    <col min="3494" max="3494" width="16.44140625" style="3" customWidth="1"/>
    <col min="3495" max="3506" width="11.44140625" style="3"/>
    <col min="3507" max="3507" width="12.6640625" style="3" customWidth="1"/>
    <col min="3508" max="3508" width="12" style="3" customWidth="1"/>
    <col min="3509" max="3520" width="11.44140625" style="3"/>
    <col min="3521" max="3521" width="12.5546875" style="3" customWidth="1"/>
    <col min="3522" max="3522" width="14.6640625" style="3" customWidth="1"/>
    <col min="3523" max="3532" width="13.33203125" style="3" customWidth="1"/>
    <col min="3533" max="3533" width="16.33203125" style="3" customWidth="1"/>
    <col min="3534" max="3534" width="17" style="3" customWidth="1"/>
    <col min="3535" max="3535" width="15.44140625" style="3" customWidth="1"/>
    <col min="3536" max="3536" width="15.88671875" style="3" customWidth="1"/>
    <col min="3537" max="3537" width="13.33203125" style="3" bestFit="1" customWidth="1"/>
    <col min="3538" max="3548" width="11.44140625" style="3" customWidth="1"/>
    <col min="3549" max="3549" width="15.44140625" style="3" customWidth="1"/>
    <col min="3550" max="3550" width="15.88671875" style="3" customWidth="1"/>
    <col min="3551" max="3686" width="11.44140625" style="3"/>
    <col min="3687" max="3687" width="4.109375" style="3" customWidth="1"/>
    <col min="3688" max="3688" width="23.33203125" style="3" customWidth="1"/>
    <col min="3689" max="3689" width="13.44140625" style="3" customWidth="1"/>
    <col min="3690" max="3690" width="19" style="3" customWidth="1"/>
    <col min="3691" max="3691" width="10.5546875" style="3" customWidth="1"/>
    <col min="3692" max="3692" width="14.109375" style="3" bestFit="1" customWidth="1"/>
    <col min="3693" max="3693" width="16.88671875" style="3" customWidth="1"/>
    <col min="3694" max="3694" width="20.5546875" style="3" customWidth="1"/>
    <col min="3695" max="3695" width="5.109375" style="3" customWidth="1"/>
    <col min="3696" max="3696" width="5.6640625" style="3" customWidth="1"/>
    <col min="3697" max="3697" width="16.6640625" style="3" customWidth="1"/>
    <col min="3698" max="3698" width="22.109375" style="3" customWidth="1"/>
    <col min="3699" max="3699" width="34.33203125" style="3" customWidth="1"/>
    <col min="3700" max="3700" width="26.109375" style="3" customWidth="1"/>
    <col min="3701" max="3701" width="11" style="3" customWidth="1"/>
    <col min="3702" max="3702" width="24.5546875" style="3" customWidth="1"/>
    <col min="3703" max="3703" width="4.44140625" style="3" customWidth="1"/>
    <col min="3704" max="3711" width="10.6640625" style="3" customWidth="1"/>
    <col min="3712" max="3712" width="11.6640625" style="3" customWidth="1"/>
    <col min="3713" max="3713" width="10.6640625" style="3" customWidth="1"/>
    <col min="3714" max="3714" width="11.33203125" style="3" customWidth="1"/>
    <col min="3715" max="3715" width="10.6640625" style="3" customWidth="1"/>
    <col min="3716" max="3716" width="20.44140625" style="3" customWidth="1"/>
    <col min="3717" max="3717" width="11.33203125" style="3" customWidth="1"/>
    <col min="3718" max="3718" width="11" style="3" customWidth="1"/>
    <col min="3719" max="3720" width="12" style="3" customWidth="1"/>
    <col min="3721" max="3721" width="9.44140625" style="3" customWidth="1"/>
    <col min="3722" max="3722" width="10.6640625" style="3" customWidth="1"/>
    <col min="3723" max="3732" width="9" style="3" customWidth="1"/>
    <col min="3733" max="3733" width="20.44140625" style="3" customWidth="1"/>
    <col min="3734" max="3734" width="12.44140625" style="3" customWidth="1"/>
    <col min="3735" max="3735" width="13.109375" style="3" customWidth="1"/>
    <col min="3736" max="3748" width="11.44140625" style="3"/>
    <col min="3749" max="3749" width="16.109375" style="3" customWidth="1"/>
    <col min="3750" max="3750" width="16.44140625" style="3" customWidth="1"/>
    <col min="3751" max="3762" width="11.44140625" style="3"/>
    <col min="3763" max="3763" width="12.6640625" style="3" customWidth="1"/>
    <col min="3764" max="3764" width="12" style="3" customWidth="1"/>
    <col min="3765" max="3776" width="11.44140625" style="3"/>
    <col min="3777" max="3777" width="12.5546875" style="3" customWidth="1"/>
    <col min="3778" max="3778" width="14.6640625" style="3" customWidth="1"/>
    <col min="3779" max="3788" width="13.33203125" style="3" customWidth="1"/>
    <col min="3789" max="3789" width="16.33203125" style="3" customWidth="1"/>
    <col min="3790" max="3790" width="17" style="3" customWidth="1"/>
    <col min="3791" max="3791" width="15.44140625" style="3" customWidth="1"/>
    <col min="3792" max="3792" width="15.88671875" style="3" customWidth="1"/>
    <col min="3793" max="3793" width="13.33203125" style="3" bestFit="1" customWidth="1"/>
    <col min="3794" max="3804" width="11.44140625" style="3" customWidth="1"/>
    <col min="3805" max="3805" width="15.44140625" style="3" customWidth="1"/>
    <col min="3806" max="3806" width="15.88671875" style="3" customWidth="1"/>
    <col min="3807" max="3942" width="11.44140625" style="3"/>
    <col min="3943" max="3943" width="4.109375" style="3" customWidth="1"/>
    <col min="3944" max="3944" width="23.33203125" style="3" customWidth="1"/>
    <col min="3945" max="3945" width="13.44140625" style="3" customWidth="1"/>
    <col min="3946" max="3946" width="19" style="3" customWidth="1"/>
    <col min="3947" max="3947" width="10.5546875" style="3" customWidth="1"/>
    <col min="3948" max="3948" width="14.109375" style="3" bestFit="1" customWidth="1"/>
    <col min="3949" max="3949" width="16.88671875" style="3" customWidth="1"/>
    <col min="3950" max="3950" width="20.5546875" style="3" customWidth="1"/>
    <col min="3951" max="3951" width="5.109375" style="3" customWidth="1"/>
    <col min="3952" max="3952" width="5.6640625" style="3" customWidth="1"/>
    <col min="3953" max="3953" width="16.6640625" style="3" customWidth="1"/>
    <col min="3954" max="3954" width="22.109375" style="3" customWidth="1"/>
    <col min="3955" max="3955" width="34.33203125" style="3" customWidth="1"/>
    <col min="3956" max="3956" width="26.109375" style="3" customWidth="1"/>
    <col min="3957" max="3957" width="11" style="3" customWidth="1"/>
    <col min="3958" max="3958" width="24.5546875" style="3" customWidth="1"/>
    <col min="3959" max="3959" width="4.44140625" style="3" customWidth="1"/>
    <col min="3960" max="3967" width="10.6640625" style="3" customWidth="1"/>
    <col min="3968" max="3968" width="11.6640625" style="3" customWidth="1"/>
    <col min="3969" max="3969" width="10.6640625" style="3" customWidth="1"/>
    <col min="3970" max="3970" width="11.33203125" style="3" customWidth="1"/>
    <col min="3971" max="3971" width="10.6640625" style="3" customWidth="1"/>
    <col min="3972" max="3972" width="20.44140625" style="3" customWidth="1"/>
    <col min="3973" max="3973" width="11.33203125" style="3" customWidth="1"/>
    <col min="3974" max="3974" width="11" style="3" customWidth="1"/>
    <col min="3975" max="3976" width="12" style="3" customWidth="1"/>
    <col min="3977" max="3977" width="9.44140625" style="3" customWidth="1"/>
    <col min="3978" max="3978" width="10.6640625" style="3" customWidth="1"/>
    <col min="3979" max="3988" width="9" style="3" customWidth="1"/>
    <col min="3989" max="3989" width="20.44140625" style="3" customWidth="1"/>
    <col min="3990" max="3990" width="12.44140625" style="3" customWidth="1"/>
    <col min="3991" max="3991" width="13.109375" style="3" customWidth="1"/>
    <col min="3992" max="4004" width="11.44140625" style="3"/>
    <col min="4005" max="4005" width="16.109375" style="3" customWidth="1"/>
    <col min="4006" max="4006" width="16.44140625" style="3" customWidth="1"/>
    <col min="4007" max="4018" width="11.44140625" style="3"/>
    <col min="4019" max="4019" width="12.6640625" style="3" customWidth="1"/>
    <col min="4020" max="4020" width="12" style="3" customWidth="1"/>
    <col min="4021" max="4032" width="11.44140625" style="3"/>
    <col min="4033" max="4033" width="12.5546875" style="3" customWidth="1"/>
    <col min="4034" max="4034" width="14.6640625" style="3" customWidth="1"/>
    <col min="4035" max="4044" width="13.33203125" style="3" customWidth="1"/>
    <col min="4045" max="4045" width="16.33203125" style="3" customWidth="1"/>
    <col min="4046" max="4046" width="17" style="3" customWidth="1"/>
    <col min="4047" max="4047" width="15.44140625" style="3" customWidth="1"/>
    <col min="4048" max="4048" width="15.88671875" style="3" customWidth="1"/>
    <col min="4049" max="4049" width="13.33203125" style="3" bestFit="1" customWidth="1"/>
    <col min="4050" max="4060" width="11.44140625" style="3" customWidth="1"/>
    <col min="4061" max="4061" width="15.44140625" style="3" customWidth="1"/>
    <col min="4062" max="4062" width="15.88671875" style="3" customWidth="1"/>
    <col min="4063" max="4198" width="11.44140625" style="3"/>
    <col min="4199" max="4199" width="4.109375" style="3" customWidth="1"/>
    <col min="4200" max="4200" width="23.33203125" style="3" customWidth="1"/>
    <col min="4201" max="4201" width="13.44140625" style="3" customWidth="1"/>
    <col min="4202" max="4202" width="19" style="3" customWidth="1"/>
    <col min="4203" max="4203" width="10.5546875" style="3" customWidth="1"/>
    <col min="4204" max="4204" width="14.109375" style="3" bestFit="1" customWidth="1"/>
    <col min="4205" max="4205" width="16.88671875" style="3" customWidth="1"/>
    <col min="4206" max="4206" width="20.5546875" style="3" customWidth="1"/>
    <col min="4207" max="4207" width="5.109375" style="3" customWidth="1"/>
    <col min="4208" max="4208" width="5.6640625" style="3" customWidth="1"/>
    <col min="4209" max="4209" width="16.6640625" style="3" customWidth="1"/>
    <col min="4210" max="4210" width="22.109375" style="3" customWidth="1"/>
    <col min="4211" max="4211" width="34.33203125" style="3" customWidth="1"/>
    <col min="4212" max="4212" width="26.109375" style="3" customWidth="1"/>
    <col min="4213" max="4213" width="11" style="3" customWidth="1"/>
    <col min="4214" max="4214" width="24.5546875" style="3" customWidth="1"/>
    <col min="4215" max="4215" width="4.44140625" style="3" customWidth="1"/>
    <col min="4216" max="4223" width="10.6640625" style="3" customWidth="1"/>
    <col min="4224" max="4224" width="11.6640625" style="3" customWidth="1"/>
    <col min="4225" max="4225" width="10.6640625" style="3" customWidth="1"/>
    <col min="4226" max="4226" width="11.33203125" style="3" customWidth="1"/>
    <col min="4227" max="4227" width="10.6640625" style="3" customWidth="1"/>
    <col min="4228" max="4228" width="20.44140625" style="3" customWidth="1"/>
    <col min="4229" max="4229" width="11.33203125" style="3" customWidth="1"/>
    <col min="4230" max="4230" width="11" style="3" customWidth="1"/>
    <col min="4231" max="4232" width="12" style="3" customWidth="1"/>
    <col min="4233" max="4233" width="9.44140625" style="3" customWidth="1"/>
    <col min="4234" max="4234" width="10.6640625" style="3" customWidth="1"/>
    <col min="4235" max="4244" width="9" style="3" customWidth="1"/>
    <col min="4245" max="4245" width="20.44140625" style="3" customWidth="1"/>
    <col min="4246" max="4246" width="12.44140625" style="3" customWidth="1"/>
    <col min="4247" max="4247" width="13.109375" style="3" customWidth="1"/>
    <col min="4248" max="4260" width="11.44140625" style="3"/>
    <col min="4261" max="4261" width="16.109375" style="3" customWidth="1"/>
    <col min="4262" max="4262" width="16.44140625" style="3" customWidth="1"/>
    <col min="4263" max="4274" width="11.44140625" style="3"/>
    <col min="4275" max="4275" width="12.6640625" style="3" customWidth="1"/>
    <col min="4276" max="4276" width="12" style="3" customWidth="1"/>
    <col min="4277" max="4288" width="11.44140625" style="3"/>
    <col min="4289" max="4289" width="12.5546875" style="3" customWidth="1"/>
    <col min="4290" max="4290" width="14.6640625" style="3" customWidth="1"/>
    <col min="4291" max="4300" width="13.33203125" style="3" customWidth="1"/>
    <col min="4301" max="4301" width="16.33203125" style="3" customWidth="1"/>
    <col min="4302" max="4302" width="17" style="3" customWidth="1"/>
    <col min="4303" max="4303" width="15.44140625" style="3" customWidth="1"/>
    <col min="4304" max="4304" width="15.88671875" style="3" customWidth="1"/>
    <col min="4305" max="4305" width="13.33203125" style="3" bestFit="1" customWidth="1"/>
    <col min="4306" max="4316" width="11.44140625" style="3" customWidth="1"/>
    <col min="4317" max="4317" width="15.44140625" style="3" customWidth="1"/>
    <col min="4318" max="4318" width="15.88671875" style="3" customWidth="1"/>
    <col min="4319" max="4454" width="11.44140625" style="3"/>
    <col min="4455" max="4455" width="4.109375" style="3" customWidth="1"/>
    <col min="4456" max="4456" width="23.33203125" style="3" customWidth="1"/>
    <col min="4457" max="4457" width="13.44140625" style="3" customWidth="1"/>
    <col min="4458" max="4458" width="19" style="3" customWidth="1"/>
    <col min="4459" max="4459" width="10.5546875" style="3" customWidth="1"/>
    <col min="4460" max="4460" width="14.109375" style="3" bestFit="1" customWidth="1"/>
    <col min="4461" max="4461" width="16.88671875" style="3" customWidth="1"/>
    <col min="4462" max="4462" width="20.5546875" style="3" customWidth="1"/>
    <col min="4463" max="4463" width="5.109375" style="3" customWidth="1"/>
    <col min="4464" max="4464" width="5.6640625" style="3" customWidth="1"/>
    <col min="4465" max="4465" width="16.6640625" style="3" customWidth="1"/>
    <col min="4466" max="4466" width="22.109375" style="3" customWidth="1"/>
    <col min="4467" max="4467" width="34.33203125" style="3" customWidth="1"/>
    <col min="4468" max="4468" width="26.109375" style="3" customWidth="1"/>
    <col min="4469" max="4469" width="11" style="3" customWidth="1"/>
    <col min="4470" max="4470" width="24.5546875" style="3" customWidth="1"/>
    <col min="4471" max="4471" width="4.44140625" style="3" customWidth="1"/>
    <col min="4472" max="4479" width="10.6640625" style="3" customWidth="1"/>
    <col min="4480" max="4480" width="11.6640625" style="3" customWidth="1"/>
    <col min="4481" max="4481" width="10.6640625" style="3" customWidth="1"/>
    <col min="4482" max="4482" width="11.33203125" style="3" customWidth="1"/>
    <col min="4483" max="4483" width="10.6640625" style="3" customWidth="1"/>
    <col min="4484" max="4484" width="20.44140625" style="3" customWidth="1"/>
    <col min="4485" max="4485" width="11.33203125" style="3" customWidth="1"/>
    <col min="4486" max="4486" width="11" style="3" customWidth="1"/>
    <col min="4487" max="4488" width="12" style="3" customWidth="1"/>
    <col min="4489" max="4489" width="9.44140625" style="3" customWidth="1"/>
    <col min="4490" max="4490" width="10.6640625" style="3" customWidth="1"/>
    <col min="4491" max="4500" width="9" style="3" customWidth="1"/>
    <col min="4501" max="4501" width="20.44140625" style="3" customWidth="1"/>
    <col min="4502" max="4502" width="12.44140625" style="3" customWidth="1"/>
    <col min="4503" max="4503" width="13.109375" style="3" customWidth="1"/>
    <col min="4504" max="4516" width="11.44140625" style="3"/>
    <col min="4517" max="4517" width="16.109375" style="3" customWidth="1"/>
    <col min="4518" max="4518" width="16.44140625" style="3" customWidth="1"/>
    <col min="4519" max="4530" width="11.44140625" style="3"/>
    <col min="4531" max="4531" width="12.6640625" style="3" customWidth="1"/>
    <col min="4532" max="4532" width="12" style="3" customWidth="1"/>
    <col min="4533" max="4544" width="11.44140625" style="3"/>
    <col min="4545" max="4545" width="12.5546875" style="3" customWidth="1"/>
    <col min="4546" max="4546" width="14.6640625" style="3" customWidth="1"/>
    <col min="4547" max="4556" width="13.33203125" style="3" customWidth="1"/>
    <col min="4557" max="4557" width="16.33203125" style="3" customWidth="1"/>
    <col min="4558" max="4558" width="17" style="3" customWidth="1"/>
    <col min="4559" max="4559" width="15.44140625" style="3" customWidth="1"/>
    <col min="4560" max="4560" width="15.88671875" style="3" customWidth="1"/>
    <col min="4561" max="4561" width="13.33203125" style="3" bestFit="1" customWidth="1"/>
    <col min="4562" max="4572" width="11.44140625" style="3" customWidth="1"/>
    <col min="4573" max="4573" width="15.44140625" style="3" customWidth="1"/>
    <col min="4574" max="4574" width="15.88671875" style="3" customWidth="1"/>
    <col min="4575" max="4710" width="11.44140625" style="3"/>
    <col min="4711" max="4711" width="4.109375" style="3" customWidth="1"/>
    <col min="4712" max="4712" width="23.33203125" style="3" customWidth="1"/>
    <col min="4713" max="4713" width="13.44140625" style="3" customWidth="1"/>
    <col min="4714" max="4714" width="19" style="3" customWidth="1"/>
    <col min="4715" max="4715" width="10.5546875" style="3" customWidth="1"/>
    <col min="4716" max="4716" width="14.109375" style="3" bestFit="1" customWidth="1"/>
    <col min="4717" max="4717" width="16.88671875" style="3" customWidth="1"/>
    <col min="4718" max="4718" width="20.5546875" style="3" customWidth="1"/>
    <col min="4719" max="4719" width="5.109375" style="3" customWidth="1"/>
    <col min="4720" max="4720" width="5.6640625" style="3" customWidth="1"/>
    <col min="4721" max="4721" width="16.6640625" style="3" customWidth="1"/>
    <col min="4722" max="4722" width="22.109375" style="3" customWidth="1"/>
    <col min="4723" max="4723" width="34.33203125" style="3" customWidth="1"/>
    <col min="4724" max="4724" width="26.109375" style="3" customWidth="1"/>
    <col min="4725" max="4725" width="11" style="3" customWidth="1"/>
    <col min="4726" max="4726" width="24.5546875" style="3" customWidth="1"/>
    <col min="4727" max="4727" width="4.44140625" style="3" customWidth="1"/>
    <col min="4728" max="4735" width="10.6640625" style="3" customWidth="1"/>
    <col min="4736" max="4736" width="11.6640625" style="3" customWidth="1"/>
    <col min="4737" max="4737" width="10.6640625" style="3" customWidth="1"/>
    <col min="4738" max="4738" width="11.33203125" style="3" customWidth="1"/>
    <col min="4739" max="4739" width="10.6640625" style="3" customWidth="1"/>
    <col min="4740" max="4740" width="20.44140625" style="3" customWidth="1"/>
    <col min="4741" max="4741" width="11.33203125" style="3" customWidth="1"/>
    <col min="4742" max="4742" width="11" style="3" customWidth="1"/>
    <col min="4743" max="4744" width="12" style="3" customWidth="1"/>
    <col min="4745" max="4745" width="9.44140625" style="3" customWidth="1"/>
    <col min="4746" max="4746" width="10.6640625" style="3" customWidth="1"/>
    <col min="4747" max="4756" width="9" style="3" customWidth="1"/>
    <col min="4757" max="4757" width="20.44140625" style="3" customWidth="1"/>
    <col min="4758" max="4758" width="12.44140625" style="3" customWidth="1"/>
    <col min="4759" max="4759" width="13.109375" style="3" customWidth="1"/>
    <col min="4760" max="4772" width="11.44140625" style="3"/>
    <col min="4773" max="4773" width="16.109375" style="3" customWidth="1"/>
    <col min="4774" max="4774" width="16.44140625" style="3" customWidth="1"/>
    <col min="4775" max="4786" width="11.44140625" style="3"/>
    <col min="4787" max="4787" width="12.6640625" style="3" customWidth="1"/>
    <col min="4788" max="4788" width="12" style="3" customWidth="1"/>
    <col min="4789" max="4800" width="11.44140625" style="3"/>
    <col min="4801" max="4801" width="12.5546875" style="3" customWidth="1"/>
    <col min="4802" max="4802" width="14.6640625" style="3" customWidth="1"/>
    <col min="4803" max="4812" width="13.33203125" style="3" customWidth="1"/>
    <col min="4813" max="4813" width="16.33203125" style="3" customWidth="1"/>
    <col min="4814" max="4814" width="17" style="3" customWidth="1"/>
    <col min="4815" max="4815" width="15.44140625" style="3" customWidth="1"/>
    <col min="4816" max="4816" width="15.88671875" style="3" customWidth="1"/>
    <col min="4817" max="4817" width="13.33203125" style="3" bestFit="1" customWidth="1"/>
    <col min="4818" max="4828" width="11.44140625" style="3" customWidth="1"/>
    <col min="4829" max="4829" width="15.44140625" style="3" customWidth="1"/>
    <col min="4830" max="4830" width="15.88671875" style="3" customWidth="1"/>
    <col min="4831" max="4966" width="11.44140625" style="3"/>
    <col min="4967" max="4967" width="4.109375" style="3" customWidth="1"/>
    <col min="4968" max="4968" width="23.33203125" style="3" customWidth="1"/>
    <col min="4969" max="4969" width="13.44140625" style="3" customWidth="1"/>
    <col min="4970" max="4970" width="19" style="3" customWidth="1"/>
    <col min="4971" max="4971" width="10.5546875" style="3" customWidth="1"/>
    <col min="4972" max="4972" width="14.109375" style="3" bestFit="1" customWidth="1"/>
    <col min="4973" max="4973" width="16.88671875" style="3" customWidth="1"/>
    <col min="4974" max="4974" width="20.5546875" style="3" customWidth="1"/>
    <col min="4975" max="4975" width="5.109375" style="3" customWidth="1"/>
    <col min="4976" max="4976" width="5.6640625" style="3" customWidth="1"/>
    <col min="4977" max="4977" width="16.6640625" style="3" customWidth="1"/>
    <col min="4978" max="4978" width="22.109375" style="3" customWidth="1"/>
    <col min="4979" max="4979" width="34.33203125" style="3" customWidth="1"/>
    <col min="4980" max="4980" width="26.109375" style="3" customWidth="1"/>
    <col min="4981" max="4981" width="11" style="3" customWidth="1"/>
    <col min="4982" max="4982" width="24.5546875" style="3" customWidth="1"/>
    <col min="4983" max="4983" width="4.44140625" style="3" customWidth="1"/>
    <col min="4984" max="4991" width="10.6640625" style="3" customWidth="1"/>
    <col min="4992" max="4992" width="11.6640625" style="3" customWidth="1"/>
    <col min="4993" max="4993" width="10.6640625" style="3" customWidth="1"/>
    <col min="4994" max="4994" width="11.33203125" style="3" customWidth="1"/>
    <col min="4995" max="4995" width="10.6640625" style="3" customWidth="1"/>
    <col min="4996" max="4996" width="20.44140625" style="3" customWidth="1"/>
    <col min="4997" max="4997" width="11.33203125" style="3" customWidth="1"/>
    <col min="4998" max="4998" width="11" style="3" customWidth="1"/>
    <col min="4999" max="5000" width="12" style="3" customWidth="1"/>
    <col min="5001" max="5001" width="9.44140625" style="3" customWidth="1"/>
    <col min="5002" max="5002" width="10.6640625" style="3" customWidth="1"/>
    <col min="5003" max="5012" width="9" style="3" customWidth="1"/>
    <col min="5013" max="5013" width="20.44140625" style="3" customWidth="1"/>
    <col min="5014" max="5014" width="12.44140625" style="3" customWidth="1"/>
    <col min="5015" max="5015" width="13.109375" style="3" customWidth="1"/>
    <col min="5016" max="5028" width="11.44140625" style="3"/>
    <col min="5029" max="5029" width="16.109375" style="3" customWidth="1"/>
    <col min="5030" max="5030" width="16.44140625" style="3" customWidth="1"/>
    <col min="5031" max="5042" width="11.44140625" style="3"/>
    <col min="5043" max="5043" width="12.6640625" style="3" customWidth="1"/>
    <col min="5044" max="5044" width="12" style="3" customWidth="1"/>
    <col min="5045" max="5056" width="11.44140625" style="3"/>
    <col min="5057" max="5057" width="12.5546875" style="3" customWidth="1"/>
    <col min="5058" max="5058" width="14.6640625" style="3" customWidth="1"/>
    <col min="5059" max="5068" width="13.33203125" style="3" customWidth="1"/>
    <col min="5069" max="5069" width="16.33203125" style="3" customWidth="1"/>
    <col min="5070" max="5070" width="17" style="3" customWidth="1"/>
    <col min="5071" max="5071" width="15.44140625" style="3" customWidth="1"/>
    <col min="5072" max="5072" width="15.88671875" style="3" customWidth="1"/>
    <col min="5073" max="5073" width="13.33203125" style="3" bestFit="1" customWidth="1"/>
    <col min="5074" max="5084" width="11.44140625" style="3" customWidth="1"/>
    <col min="5085" max="5085" width="15.44140625" style="3" customWidth="1"/>
    <col min="5086" max="5086" width="15.88671875" style="3" customWidth="1"/>
    <col min="5087" max="5222" width="11.44140625" style="3"/>
    <col min="5223" max="5223" width="4.109375" style="3" customWidth="1"/>
    <col min="5224" max="5224" width="23.33203125" style="3" customWidth="1"/>
    <col min="5225" max="5225" width="13.44140625" style="3" customWidth="1"/>
    <col min="5226" max="5226" width="19" style="3" customWidth="1"/>
    <col min="5227" max="5227" width="10.5546875" style="3" customWidth="1"/>
    <col min="5228" max="5228" width="14.109375" style="3" bestFit="1" customWidth="1"/>
    <col min="5229" max="5229" width="16.88671875" style="3" customWidth="1"/>
    <col min="5230" max="5230" width="20.5546875" style="3" customWidth="1"/>
    <col min="5231" max="5231" width="5.109375" style="3" customWidth="1"/>
    <col min="5232" max="5232" width="5.6640625" style="3" customWidth="1"/>
    <col min="5233" max="5233" width="16.6640625" style="3" customWidth="1"/>
    <col min="5234" max="5234" width="22.109375" style="3" customWidth="1"/>
    <col min="5235" max="5235" width="34.33203125" style="3" customWidth="1"/>
    <col min="5236" max="5236" width="26.109375" style="3" customWidth="1"/>
    <col min="5237" max="5237" width="11" style="3" customWidth="1"/>
    <col min="5238" max="5238" width="24.5546875" style="3" customWidth="1"/>
    <col min="5239" max="5239" width="4.44140625" style="3" customWidth="1"/>
    <col min="5240" max="5247" width="10.6640625" style="3" customWidth="1"/>
    <col min="5248" max="5248" width="11.6640625" style="3" customWidth="1"/>
    <col min="5249" max="5249" width="10.6640625" style="3" customWidth="1"/>
    <col min="5250" max="5250" width="11.33203125" style="3" customWidth="1"/>
    <col min="5251" max="5251" width="10.6640625" style="3" customWidth="1"/>
    <col min="5252" max="5252" width="20.44140625" style="3" customWidth="1"/>
    <col min="5253" max="5253" width="11.33203125" style="3" customWidth="1"/>
    <col min="5254" max="5254" width="11" style="3" customWidth="1"/>
    <col min="5255" max="5256" width="12" style="3" customWidth="1"/>
    <col min="5257" max="5257" width="9.44140625" style="3" customWidth="1"/>
    <col min="5258" max="5258" width="10.6640625" style="3" customWidth="1"/>
    <col min="5259" max="5268" width="9" style="3" customWidth="1"/>
    <col min="5269" max="5269" width="20.44140625" style="3" customWidth="1"/>
    <col min="5270" max="5270" width="12.44140625" style="3" customWidth="1"/>
    <col min="5271" max="5271" width="13.109375" style="3" customWidth="1"/>
    <col min="5272" max="5284" width="11.44140625" style="3"/>
    <col min="5285" max="5285" width="16.109375" style="3" customWidth="1"/>
    <col min="5286" max="5286" width="16.44140625" style="3" customWidth="1"/>
    <col min="5287" max="5298" width="11.44140625" style="3"/>
    <col min="5299" max="5299" width="12.6640625" style="3" customWidth="1"/>
    <col min="5300" max="5300" width="12" style="3" customWidth="1"/>
    <col min="5301" max="5312" width="11.44140625" style="3"/>
    <col min="5313" max="5313" width="12.5546875" style="3" customWidth="1"/>
    <col min="5314" max="5314" width="14.6640625" style="3" customWidth="1"/>
    <col min="5315" max="5324" width="13.33203125" style="3" customWidth="1"/>
    <col min="5325" max="5325" width="16.33203125" style="3" customWidth="1"/>
    <col min="5326" max="5326" width="17" style="3" customWidth="1"/>
    <col min="5327" max="5327" width="15.44140625" style="3" customWidth="1"/>
    <col min="5328" max="5328" width="15.88671875" style="3" customWidth="1"/>
    <col min="5329" max="5329" width="13.33203125" style="3" bestFit="1" customWidth="1"/>
    <col min="5330" max="5340" width="11.44140625" style="3" customWidth="1"/>
    <col min="5341" max="5341" width="15.44140625" style="3" customWidth="1"/>
    <col min="5342" max="5342" width="15.88671875" style="3" customWidth="1"/>
    <col min="5343" max="5478" width="11.44140625" style="3"/>
    <col min="5479" max="5479" width="4.109375" style="3" customWidth="1"/>
    <col min="5480" max="5480" width="23.33203125" style="3" customWidth="1"/>
    <col min="5481" max="5481" width="13.44140625" style="3" customWidth="1"/>
    <col min="5482" max="5482" width="19" style="3" customWidth="1"/>
    <col min="5483" max="5483" width="10.5546875" style="3" customWidth="1"/>
    <col min="5484" max="5484" width="14.109375" style="3" bestFit="1" customWidth="1"/>
    <col min="5485" max="5485" width="16.88671875" style="3" customWidth="1"/>
    <col min="5486" max="5486" width="20.5546875" style="3" customWidth="1"/>
    <col min="5487" max="5487" width="5.109375" style="3" customWidth="1"/>
    <col min="5488" max="5488" width="5.6640625" style="3" customWidth="1"/>
    <col min="5489" max="5489" width="16.6640625" style="3" customWidth="1"/>
    <col min="5490" max="5490" width="22.109375" style="3" customWidth="1"/>
    <col min="5491" max="5491" width="34.33203125" style="3" customWidth="1"/>
    <col min="5492" max="5492" width="26.109375" style="3" customWidth="1"/>
    <col min="5493" max="5493" width="11" style="3" customWidth="1"/>
    <col min="5494" max="5494" width="24.5546875" style="3" customWidth="1"/>
    <col min="5495" max="5495" width="4.44140625" style="3" customWidth="1"/>
    <col min="5496" max="5503" width="10.6640625" style="3" customWidth="1"/>
    <col min="5504" max="5504" width="11.6640625" style="3" customWidth="1"/>
    <col min="5505" max="5505" width="10.6640625" style="3" customWidth="1"/>
    <col min="5506" max="5506" width="11.33203125" style="3" customWidth="1"/>
    <col min="5507" max="5507" width="10.6640625" style="3" customWidth="1"/>
    <col min="5508" max="5508" width="20.44140625" style="3" customWidth="1"/>
    <col min="5509" max="5509" width="11.33203125" style="3" customWidth="1"/>
    <col min="5510" max="5510" width="11" style="3" customWidth="1"/>
    <col min="5511" max="5512" width="12" style="3" customWidth="1"/>
    <col min="5513" max="5513" width="9.44140625" style="3" customWidth="1"/>
    <col min="5514" max="5514" width="10.6640625" style="3" customWidth="1"/>
    <col min="5515" max="5524" width="9" style="3" customWidth="1"/>
    <col min="5525" max="5525" width="20.44140625" style="3" customWidth="1"/>
    <col min="5526" max="5526" width="12.44140625" style="3" customWidth="1"/>
    <col min="5527" max="5527" width="13.109375" style="3" customWidth="1"/>
    <col min="5528" max="5540" width="11.44140625" style="3"/>
    <col min="5541" max="5541" width="16.109375" style="3" customWidth="1"/>
    <col min="5542" max="5542" width="16.44140625" style="3" customWidth="1"/>
    <col min="5543" max="5554" width="11.44140625" style="3"/>
    <col min="5555" max="5555" width="12.6640625" style="3" customWidth="1"/>
    <col min="5556" max="5556" width="12" style="3" customWidth="1"/>
    <col min="5557" max="5568" width="11.44140625" style="3"/>
    <col min="5569" max="5569" width="12.5546875" style="3" customWidth="1"/>
    <col min="5570" max="5570" width="14.6640625" style="3" customWidth="1"/>
    <col min="5571" max="5580" width="13.33203125" style="3" customWidth="1"/>
    <col min="5581" max="5581" width="16.33203125" style="3" customWidth="1"/>
    <col min="5582" max="5582" width="17" style="3" customWidth="1"/>
    <col min="5583" max="5583" width="15.44140625" style="3" customWidth="1"/>
    <col min="5584" max="5584" width="15.88671875" style="3" customWidth="1"/>
    <col min="5585" max="5585" width="13.33203125" style="3" bestFit="1" customWidth="1"/>
    <col min="5586" max="5596" width="11.44140625" style="3" customWidth="1"/>
    <col min="5597" max="5597" width="15.44140625" style="3" customWidth="1"/>
    <col min="5598" max="5598" width="15.88671875" style="3" customWidth="1"/>
    <col min="5599" max="5734" width="11.44140625" style="3"/>
    <col min="5735" max="5735" width="4.109375" style="3" customWidth="1"/>
    <col min="5736" max="5736" width="23.33203125" style="3" customWidth="1"/>
    <col min="5737" max="5737" width="13.44140625" style="3" customWidth="1"/>
    <col min="5738" max="5738" width="19" style="3" customWidth="1"/>
    <col min="5739" max="5739" width="10.5546875" style="3" customWidth="1"/>
    <col min="5740" max="5740" width="14.109375" style="3" bestFit="1" customWidth="1"/>
    <col min="5741" max="5741" width="16.88671875" style="3" customWidth="1"/>
    <col min="5742" max="5742" width="20.5546875" style="3" customWidth="1"/>
    <col min="5743" max="5743" width="5.109375" style="3" customWidth="1"/>
    <col min="5744" max="5744" width="5.6640625" style="3" customWidth="1"/>
    <col min="5745" max="5745" width="16.6640625" style="3" customWidth="1"/>
    <col min="5746" max="5746" width="22.109375" style="3" customWidth="1"/>
    <col min="5747" max="5747" width="34.33203125" style="3" customWidth="1"/>
    <col min="5748" max="5748" width="26.109375" style="3" customWidth="1"/>
    <col min="5749" max="5749" width="11" style="3" customWidth="1"/>
    <col min="5750" max="5750" width="24.5546875" style="3" customWidth="1"/>
    <col min="5751" max="5751" width="4.44140625" style="3" customWidth="1"/>
    <col min="5752" max="5759" width="10.6640625" style="3" customWidth="1"/>
    <col min="5760" max="5760" width="11.6640625" style="3" customWidth="1"/>
    <col min="5761" max="5761" width="10.6640625" style="3" customWidth="1"/>
    <col min="5762" max="5762" width="11.33203125" style="3" customWidth="1"/>
    <col min="5763" max="5763" width="10.6640625" style="3" customWidth="1"/>
    <col min="5764" max="5764" width="20.44140625" style="3" customWidth="1"/>
    <col min="5765" max="5765" width="11.33203125" style="3" customWidth="1"/>
    <col min="5766" max="5766" width="11" style="3" customWidth="1"/>
    <col min="5767" max="5768" width="12" style="3" customWidth="1"/>
    <col min="5769" max="5769" width="9.44140625" style="3" customWidth="1"/>
    <col min="5770" max="5770" width="10.6640625" style="3" customWidth="1"/>
    <col min="5771" max="5780" width="9" style="3" customWidth="1"/>
    <col min="5781" max="5781" width="20.44140625" style="3" customWidth="1"/>
    <col min="5782" max="5782" width="12.44140625" style="3" customWidth="1"/>
    <col min="5783" max="5783" width="13.109375" style="3" customWidth="1"/>
    <col min="5784" max="5796" width="11.44140625" style="3"/>
    <col min="5797" max="5797" width="16.109375" style="3" customWidth="1"/>
    <col min="5798" max="5798" width="16.44140625" style="3" customWidth="1"/>
    <col min="5799" max="5810" width="11.44140625" style="3"/>
    <col min="5811" max="5811" width="12.6640625" style="3" customWidth="1"/>
    <col min="5812" max="5812" width="12" style="3" customWidth="1"/>
    <col min="5813" max="5824" width="11.44140625" style="3"/>
    <col min="5825" max="5825" width="12.5546875" style="3" customWidth="1"/>
    <col min="5826" max="5826" width="14.6640625" style="3" customWidth="1"/>
    <col min="5827" max="5836" width="13.33203125" style="3" customWidth="1"/>
    <col min="5837" max="5837" width="16.33203125" style="3" customWidth="1"/>
    <col min="5838" max="5838" width="17" style="3" customWidth="1"/>
    <col min="5839" max="5839" width="15.44140625" style="3" customWidth="1"/>
    <col min="5840" max="5840" width="15.88671875" style="3" customWidth="1"/>
    <col min="5841" max="5841" width="13.33203125" style="3" bestFit="1" customWidth="1"/>
    <col min="5842" max="5852" width="11.44140625" style="3" customWidth="1"/>
    <col min="5853" max="5853" width="15.44140625" style="3" customWidth="1"/>
    <col min="5854" max="5854" width="15.88671875" style="3" customWidth="1"/>
    <col min="5855" max="5990" width="11.44140625" style="3"/>
    <col min="5991" max="5991" width="4.109375" style="3" customWidth="1"/>
    <col min="5992" max="5992" width="23.33203125" style="3" customWidth="1"/>
    <col min="5993" max="5993" width="13.44140625" style="3" customWidth="1"/>
    <col min="5994" max="5994" width="19" style="3" customWidth="1"/>
    <col min="5995" max="5995" width="10.5546875" style="3" customWidth="1"/>
    <col min="5996" max="5996" width="14.109375" style="3" bestFit="1" customWidth="1"/>
    <col min="5997" max="5997" width="16.88671875" style="3" customWidth="1"/>
    <col min="5998" max="5998" width="20.5546875" style="3" customWidth="1"/>
    <col min="5999" max="5999" width="5.109375" style="3" customWidth="1"/>
    <col min="6000" max="6000" width="5.6640625" style="3" customWidth="1"/>
    <col min="6001" max="6001" width="16.6640625" style="3" customWidth="1"/>
    <col min="6002" max="6002" width="22.109375" style="3" customWidth="1"/>
    <col min="6003" max="6003" width="34.33203125" style="3" customWidth="1"/>
    <col min="6004" max="6004" width="26.109375" style="3" customWidth="1"/>
    <col min="6005" max="6005" width="11" style="3" customWidth="1"/>
    <col min="6006" max="6006" width="24.5546875" style="3" customWidth="1"/>
    <col min="6007" max="6007" width="4.44140625" style="3" customWidth="1"/>
    <col min="6008" max="6015" width="10.6640625" style="3" customWidth="1"/>
    <col min="6016" max="6016" width="11.6640625" style="3" customWidth="1"/>
    <col min="6017" max="6017" width="10.6640625" style="3" customWidth="1"/>
    <col min="6018" max="6018" width="11.33203125" style="3" customWidth="1"/>
    <col min="6019" max="6019" width="10.6640625" style="3" customWidth="1"/>
    <col min="6020" max="6020" width="20.44140625" style="3" customWidth="1"/>
    <col min="6021" max="6021" width="11.33203125" style="3" customWidth="1"/>
    <col min="6022" max="6022" width="11" style="3" customWidth="1"/>
    <col min="6023" max="6024" width="12" style="3" customWidth="1"/>
    <col min="6025" max="6025" width="9.44140625" style="3" customWidth="1"/>
    <col min="6026" max="6026" width="10.6640625" style="3" customWidth="1"/>
    <col min="6027" max="6036" width="9" style="3" customWidth="1"/>
    <col min="6037" max="6037" width="20.44140625" style="3" customWidth="1"/>
    <col min="6038" max="6038" width="12.44140625" style="3" customWidth="1"/>
    <col min="6039" max="6039" width="13.109375" style="3" customWidth="1"/>
    <col min="6040" max="6052" width="11.44140625" style="3"/>
    <col min="6053" max="6053" width="16.109375" style="3" customWidth="1"/>
    <col min="6054" max="6054" width="16.44140625" style="3" customWidth="1"/>
    <col min="6055" max="6066" width="11.44140625" style="3"/>
    <col min="6067" max="6067" width="12.6640625" style="3" customWidth="1"/>
    <col min="6068" max="6068" width="12" style="3" customWidth="1"/>
    <col min="6069" max="6080" width="11.44140625" style="3"/>
    <col min="6081" max="6081" width="12.5546875" style="3" customWidth="1"/>
    <col min="6082" max="6082" width="14.6640625" style="3" customWidth="1"/>
    <col min="6083" max="6092" width="13.33203125" style="3" customWidth="1"/>
    <col min="6093" max="6093" width="16.33203125" style="3" customWidth="1"/>
    <col min="6094" max="6094" width="17" style="3" customWidth="1"/>
    <col min="6095" max="6095" width="15.44140625" style="3" customWidth="1"/>
    <col min="6096" max="6096" width="15.88671875" style="3" customWidth="1"/>
    <col min="6097" max="6097" width="13.33203125" style="3" bestFit="1" customWidth="1"/>
    <col min="6098" max="6108" width="11.44140625" style="3" customWidth="1"/>
    <col min="6109" max="6109" width="15.44140625" style="3" customWidth="1"/>
    <col min="6110" max="6110" width="15.88671875" style="3" customWidth="1"/>
    <col min="6111" max="6246" width="11.44140625" style="3"/>
    <col min="6247" max="6247" width="4.109375" style="3" customWidth="1"/>
    <col min="6248" max="6248" width="23.33203125" style="3" customWidth="1"/>
    <col min="6249" max="6249" width="13.44140625" style="3" customWidth="1"/>
    <col min="6250" max="6250" width="19" style="3" customWidth="1"/>
    <col min="6251" max="6251" width="10.5546875" style="3" customWidth="1"/>
    <col min="6252" max="6252" width="14.109375" style="3" bestFit="1" customWidth="1"/>
    <col min="6253" max="6253" width="16.88671875" style="3" customWidth="1"/>
    <col min="6254" max="6254" width="20.5546875" style="3" customWidth="1"/>
    <col min="6255" max="6255" width="5.109375" style="3" customWidth="1"/>
    <col min="6256" max="6256" width="5.6640625" style="3" customWidth="1"/>
    <col min="6257" max="6257" width="16.6640625" style="3" customWidth="1"/>
    <col min="6258" max="6258" width="22.109375" style="3" customWidth="1"/>
    <col min="6259" max="6259" width="34.33203125" style="3" customWidth="1"/>
    <col min="6260" max="6260" width="26.109375" style="3" customWidth="1"/>
    <col min="6261" max="6261" width="11" style="3" customWidth="1"/>
    <col min="6262" max="6262" width="24.5546875" style="3" customWidth="1"/>
    <col min="6263" max="6263" width="4.44140625" style="3" customWidth="1"/>
    <col min="6264" max="6271" width="10.6640625" style="3" customWidth="1"/>
    <col min="6272" max="6272" width="11.6640625" style="3" customWidth="1"/>
    <col min="6273" max="6273" width="10.6640625" style="3" customWidth="1"/>
    <col min="6274" max="6274" width="11.33203125" style="3" customWidth="1"/>
    <col min="6275" max="6275" width="10.6640625" style="3" customWidth="1"/>
    <col min="6276" max="6276" width="20.44140625" style="3" customWidth="1"/>
    <col min="6277" max="6277" width="11.33203125" style="3" customWidth="1"/>
    <col min="6278" max="6278" width="11" style="3" customWidth="1"/>
    <col min="6279" max="6280" width="12" style="3" customWidth="1"/>
    <col min="6281" max="6281" width="9.44140625" style="3" customWidth="1"/>
    <col min="6282" max="6282" width="10.6640625" style="3" customWidth="1"/>
    <col min="6283" max="6292" width="9" style="3" customWidth="1"/>
    <col min="6293" max="6293" width="20.44140625" style="3" customWidth="1"/>
    <col min="6294" max="6294" width="12.44140625" style="3" customWidth="1"/>
    <col min="6295" max="6295" width="13.109375" style="3" customWidth="1"/>
    <col min="6296" max="6308" width="11.44140625" style="3"/>
    <col min="6309" max="6309" width="16.109375" style="3" customWidth="1"/>
    <col min="6310" max="6310" width="16.44140625" style="3" customWidth="1"/>
    <col min="6311" max="6322" width="11.44140625" style="3"/>
    <col min="6323" max="6323" width="12.6640625" style="3" customWidth="1"/>
    <col min="6324" max="6324" width="12" style="3" customWidth="1"/>
    <col min="6325" max="6336" width="11.44140625" style="3"/>
    <col min="6337" max="6337" width="12.5546875" style="3" customWidth="1"/>
    <col min="6338" max="6338" width="14.6640625" style="3" customWidth="1"/>
    <col min="6339" max="6348" width="13.33203125" style="3" customWidth="1"/>
    <col min="6349" max="6349" width="16.33203125" style="3" customWidth="1"/>
    <col min="6350" max="6350" width="17" style="3" customWidth="1"/>
    <col min="6351" max="6351" width="15.44140625" style="3" customWidth="1"/>
    <col min="6352" max="6352" width="15.88671875" style="3" customWidth="1"/>
    <col min="6353" max="6353" width="13.33203125" style="3" bestFit="1" customWidth="1"/>
    <col min="6354" max="6364" width="11.44140625" style="3" customWidth="1"/>
    <col min="6365" max="6365" width="15.44140625" style="3" customWidth="1"/>
    <col min="6366" max="6366" width="15.88671875" style="3" customWidth="1"/>
    <col min="6367" max="6502" width="11.44140625" style="3"/>
    <col min="6503" max="6503" width="4.109375" style="3" customWidth="1"/>
    <col min="6504" max="6504" width="23.33203125" style="3" customWidth="1"/>
    <col min="6505" max="6505" width="13.44140625" style="3" customWidth="1"/>
    <col min="6506" max="6506" width="19" style="3" customWidth="1"/>
    <col min="6507" max="6507" width="10.5546875" style="3" customWidth="1"/>
    <col min="6508" max="6508" width="14.109375" style="3" bestFit="1" customWidth="1"/>
    <col min="6509" max="6509" width="16.88671875" style="3" customWidth="1"/>
    <col min="6510" max="6510" width="20.5546875" style="3" customWidth="1"/>
    <col min="6511" max="6511" width="5.109375" style="3" customWidth="1"/>
    <col min="6512" max="6512" width="5.6640625" style="3" customWidth="1"/>
    <col min="6513" max="6513" width="16.6640625" style="3" customWidth="1"/>
    <col min="6514" max="6514" width="22.109375" style="3" customWidth="1"/>
    <col min="6515" max="6515" width="34.33203125" style="3" customWidth="1"/>
    <col min="6516" max="6516" width="26.109375" style="3" customWidth="1"/>
    <col min="6517" max="6517" width="11" style="3" customWidth="1"/>
    <col min="6518" max="6518" width="24.5546875" style="3" customWidth="1"/>
    <col min="6519" max="6519" width="4.44140625" style="3" customWidth="1"/>
    <col min="6520" max="6527" width="10.6640625" style="3" customWidth="1"/>
    <col min="6528" max="6528" width="11.6640625" style="3" customWidth="1"/>
    <col min="6529" max="6529" width="10.6640625" style="3" customWidth="1"/>
    <col min="6530" max="6530" width="11.33203125" style="3" customWidth="1"/>
    <col min="6531" max="6531" width="10.6640625" style="3" customWidth="1"/>
    <col min="6532" max="6532" width="20.44140625" style="3" customWidth="1"/>
    <col min="6533" max="6533" width="11.33203125" style="3" customWidth="1"/>
    <col min="6534" max="6534" width="11" style="3" customWidth="1"/>
    <col min="6535" max="6536" width="12" style="3" customWidth="1"/>
    <col min="6537" max="6537" width="9.44140625" style="3" customWidth="1"/>
    <col min="6538" max="6538" width="10.6640625" style="3" customWidth="1"/>
    <col min="6539" max="6548" width="9" style="3" customWidth="1"/>
    <col min="6549" max="6549" width="20.44140625" style="3" customWidth="1"/>
    <col min="6550" max="6550" width="12.44140625" style="3" customWidth="1"/>
    <col min="6551" max="6551" width="13.109375" style="3" customWidth="1"/>
    <col min="6552" max="6564" width="11.44140625" style="3"/>
    <col min="6565" max="6565" width="16.109375" style="3" customWidth="1"/>
    <col min="6566" max="6566" width="16.44140625" style="3" customWidth="1"/>
    <col min="6567" max="6578" width="11.44140625" style="3"/>
    <col min="6579" max="6579" width="12.6640625" style="3" customWidth="1"/>
    <col min="6580" max="6580" width="12" style="3" customWidth="1"/>
    <col min="6581" max="6592" width="11.44140625" style="3"/>
    <col min="6593" max="6593" width="12.5546875" style="3" customWidth="1"/>
    <col min="6594" max="6594" width="14.6640625" style="3" customWidth="1"/>
    <col min="6595" max="6604" width="13.33203125" style="3" customWidth="1"/>
    <col min="6605" max="6605" width="16.33203125" style="3" customWidth="1"/>
    <col min="6606" max="6606" width="17" style="3" customWidth="1"/>
    <col min="6607" max="6607" width="15.44140625" style="3" customWidth="1"/>
    <col min="6608" max="6608" width="15.88671875" style="3" customWidth="1"/>
    <col min="6609" max="6609" width="13.33203125" style="3" bestFit="1" customWidth="1"/>
    <col min="6610" max="6620" width="11.44140625" style="3" customWidth="1"/>
    <col min="6621" max="6621" width="15.44140625" style="3" customWidth="1"/>
    <col min="6622" max="6622" width="15.88671875" style="3" customWidth="1"/>
    <col min="6623" max="6758" width="11.44140625" style="3"/>
    <col min="6759" max="6759" width="4.109375" style="3" customWidth="1"/>
    <col min="6760" max="6760" width="23.33203125" style="3" customWidth="1"/>
    <col min="6761" max="6761" width="13.44140625" style="3" customWidth="1"/>
    <col min="6762" max="6762" width="19" style="3" customWidth="1"/>
    <col min="6763" max="6763" width="10.5546875" style="3" customWidth="1"/>
    <col min="6764" max="6764" width="14.109375" style="3" bestFit="1" customWidth="1"/>
    <col min="6765" max="6765" width="16.88671875" style="3" customWidth="1"/>
    <col min="6766" max="6766" width="20.5546875" style="3" customWidth="1"/>
    <col min="6767" max="6767" width="5.109375" style="3" customWidth="1"/>
    <col min="6768" max="6768" width="5.6640625" style="3" customWidth="1"/>
    <col min="6769" max="6769" width="16.6640625" style="3" customWidth="1"/>
    <col min="6770" max="6770" width="22.109375" style="3" customWidth="1"/>
    <col min="6771" max="6771" width="34.33203125" style="3" customWidth="1"/>
    <col min="6772" max="6772" width="26.109375" style="3" customWidth="1"/>
    <col min="6773" max="6773" width="11" style="3" customWidth="1"/>
    <col min="6774" max="6774" width="24.5546875" style="3" customWidth="1"/>
    <col min="6775" max="6775" width="4.44140625" style="3" customWidth="1"/>
    <col min="6776" max="6783" width="10.6640625" style="3" customWidth="1"/>
    <col min="6784" max="6784" width="11.6640625" style="3" customWidth="1"/>
    <col min="6785" max="6785" width="10.6640625" style="3" customWidth="1"/>
    <col min="6786" max="6786" width="11.33203125" style="3" customWidth="1"/>
    <col min="6787" max="6787" width="10.6640625" style="3" customWidth="1"/>
    <col min="6788" max="6788" width="20.44140625" style="3" customWidth="1"/>
    <col min="6789" max="6789" width="11.33203125" style="3" customWidth="1"/>
    <col min="6790" max="6790" width="11" style="3" customWidth="1"/>
    <col min="6791" max="6792" width="12" style="3" customWidth="1"/>
    <col min="6793" max="6793" width="9.44140625" style="3" customWidth="1"/>
    <col min="6794" max="6794" width="10.6640625" style="3" customWidth="1"/>
    <col min="6795" max="6804" width="9" style="3" customWidth="1"/>
    <col min="6805" max="6805" width="20.44140625" style="3" customWidth="1"/>
    <col min="6806" max="6806" width="12.44140625" style="3" customWidth="1"/>
    <col min="6807" max="6807" width="13.109375" style="3" customWidth="1"/>
    <col min="6808" max="6820" width="11.44140625" style="3"/>
    <col min="6821" max="6821" width="16.109375" style="3" customWidth="1"/>
    <col min="6822" max="6822" width="16.44140625" style="3" customWidth="1"/>
    <col min="6823" max="6834" width="11.44140625" style="3"/>
    <col min="6835" max="6835" width="12.6640625" style="3" customWidth="1"/>
    <col min="6836" max="6836" width="12" style="3" customWidth="1"/>
    <col min="6837" max="6848" width="11.44140625" style="3"/>
    <col min="6849" max="6849" width="12.5546875" style="3" customWidth="1"/>
    <col min="6850" max="6850" width="14.6640625" style="3" customWidth="1"/>
    <col min="6851" max="6860" width="13.33203125" style="3" customWidth="1"/>
    <col min="6861" max="6861" width="16.33203125" style="3" customWidth="1"/>
    <col min="6862" max="6862" width="17" style="3" customWidth="1"/>
    <col min="6863" max="6863" width="15.44140625" style="3" customWidth="1"/>
    <col min="6864" max="6864" width="15.88671875" style="3" customWidth="1"/>
    <col min="6865" max="6865" width="13.33203125" style="3" bestFit="1" customWidth="1"/>
    <col min="6866" max="6876" width="11.44140625" style="3" customWidth="1"/>
    <col min="6877" max="6877" width="15.44140625" style="3" customWidth="1"/>
    <col min="6878" max="6878" width="15.88671875" style="3" customWidth="1"/>
    <col min="6879" max="7014" width="11.44140625" style="3"/>
    <col min="7015" max="7015" width="4.109375" style="3" customWidth="1"/>
    <col min="7016" max="7016" width="23.33203125" style="3" customWidth="1"/>
    <col min="7017" max="7017" width="13.44140625" style="3" customWidth="1"/>
    <col min="7018" max="7018" width="19" style="3" customWidth="1"/>
    <col min="7019" max="7019" width="10.5546875" style="3" customWidth="1"/>
    <col min="7020" max="7020" width="14.109375" style="3" bestFit="1" customWidth="1"/>
    <col min="7021" max="7021" width="16.88671875" style="3" customWidth="1"/>
    <col min="7022" max="7022" width="20.5546875" style="3" customWidth="1"/>
    <col min="7023" max="7023" width="5.109375" style="3" customWidth="1"/>
    <col min="7024" max="7024" width="5.6640625" style="3" customWidth="1"/>
    <col min="7025" max="7025" width="16.6640625" style="3" customWidth="1"/>
    <col min="7026" max="7026" width="22.109375" style="3" customWidth="1"/>
    <col min="7027" max="7027" width="34.33203125" style="3" customWidth="1"/>
    <col min="7028" max="7028" width="26.109375" style="3" customWidth="1"/>
    <col min="7029" max="7029" width="11" style="3" customWidth="1"/>
    <col min="7030" max="7030" width="24.5546875" style="3" customWidth="1"/>
    <col min="7031" max="7031" width="4.44140625" style="3" customWidth="1"/>
    <col min="7032" max="7039" width="10.6640625" style="3" customWidth="1"/>
    <col min="7040" max="7040" width="11.6640625" style="3" customWidth="1"/>
    <col min="7041" max="7041" width="10.6640625" style="3" customWidth="1"/>
    <col min="7042" max="7042" width="11.33203125" style="3" customWidth="1"/>
    <col min="7043" max="7043" width="10.6640625" style="3" customWidth="1"/>
    <col min="7044" max="7044" width="20.44140625" style="3" customWidth="1"/>
    <col min="7045" max="7045" width="11.33203125" style="3" customWidth="1"/>
    <col min="7046" max="7046" width="11" style="3" customWidth="1"/>
    <col min="7047" max="7048" width="12" style="3" customWidth="1"/>
    <col min="7049" max="7049" width="9.44140625" style="3" customWidth="1"/>
    <col min="7050" max="7050" width="10.6640625" style="3" customWidth="1"/>
    <col min="7051" max="7060" width="9" style="3" customWidth="1"/>
    <col min="7061" max="7061" width="20.44140625" style="3" customWidth="1"/>
    <col min="7062" max="7062" width="12.44140625" style="3" customWidth="1"/>
    <col min="7063" max="7063" width="13.109375" style="3" customWidth="1"/>
    <col min="7064" max="7076" width="11.44140625" style="3"/>
    <col min="7077" max="7077" width="16.109375" style="3" customWidth="1"/>
    <col min="7078" max="7078" width="16.44140625" style="3" customWidth="1"/>
    <col min="7079" max="7090" width="11.44140625" style="3"/>
    <col min="7091" max="7091" width="12.6640625" style="3" customWidth="1"/>
    <col min="7092" max="7092" width="12" style="3" customWidth="1"/>
    <col min="7093" max="7104" width="11.44140625" style="3"/>
    <col min="7105" max="7105" width="12.5546875" style="3" customWidth="1"/>
    <col min="7106" max="7106" width="14.6640625" style="3" customWidth="1"/>
    <col min="7107" max="7116" width="13.33203125" style="3" customWidth="1"/>
    <col min="7117" max="7117" width="16.33203125" style="3" customWidth="1"/>
    <col min="7118" max="7118" width="17" style="3" customWidth="1"/>
    <col min="7119" max="7119" width="15.44140625" style="3" customWidth="1"/>
    <col min="7120" max="7120" width="15.88671875" style="3" customWidth="1"/>
    <col min="7121" max="7121" width="13.33203125" style="3" bestFit="1" customWidth="1"/>
    <col min="7122" max="7132" width="11.44140625" style="3" customWidth="1"/>
    <col min="7133" max="7133" width="15.44140625" style="3" customWidth="1"/>
    <col min="7134" max="7134" width="15.88671875" style="3" customWidth="1"/>
    <col min="7135" max="7270" width="11.44140625" style="3"/>
    <col min="7271" max="7271" width="4.109375" style="3" customWidth="1"/>
    <col min="7272" max="7272" width="23.33203125" style="3" customWidth="1"/>
    <col min="7273" max="7273" width="13.44140625" style="3" customWidth="1"/>
    <col min="7274" max="7274" width="19" style="3" customWidth="1"/>
    <col min="7275" max="7275" width="10.5546875" style="3" customWidth="1"/>
    <col min="7276" max="7276" width="14.109375" style="3" bestFit="1" customWidth="1"/>
    <col min="7277" max="7277" width="16.88671875" style="3" customWidth="1"/>
    <col min="7278" max="7278" width="20.5546875" style="3" customWidth="1"/>
    <col min="7279" max="7279" width="5.109375" style="3" customWidth="1"/>
    <col min="7280" max="7280" width="5.6640625" style="3" customWidth="1"/>
    <col min="7281" max="7281" width="16.6640625" style="3" customWidth="1"/>
    <col min="7282" max="7282" width="22.109375" style="3" customWidth="1"/>
    <col min="7283" max="7283" width="34.33203125" style="3" customWidth="1"/>
    <col min="7284" max="7284" width="26.109375" style="3" customWidth="1"/>
    <col min="7285" max="7285" width="11" style="3" customWidth="1"/>
    <col min="7286" max="7286" width="24.5546875" style="3" customWidth="1"/>
    <col min="7287" max="7287" width="4.44140625" style="3" customWidth="1"/>
    <col min="7288" max="7295" width="10.6640625" style="3" customWidth="1"/>
    <col min="7296" max="7296" width="11.6640625" style="3" customWidth="1"/>
    <col min="7297" max="7297" width="10.6640625" style="3" customWidth="1"/>
    <col min="7298" max="7298" width="11.33203125" style="3" customWidth="1"/>
    <col min="7299" max="7299" width="10.6640625" style="3" customWidth="1"/>
    <col min="7300" max="7300" width="20.44140625" style="3" customWidth="1"/>
    <col min="7301" max="7301" width="11.33203125" style="3" customWidth="1"/>
    <col min="7302" max="7302" width="11" style="3" customWidth="1"/>
    <col min="7303" max="7304" width="12" style="3" customWidth="1"/>
    <col min="7305" max="7305" width="9.44140625" style="3" customWidth="1"/>
    <col min="7306" max="7306" width="10.6640625" style="3" customWidth="1"/>
    <col min="7307" max="7316" width="9" style="3" customWidth="1"/>
    <col min="7317" max="7317" width="20.44140625" style="3" customWidth="1"/>
    <col min="7318" max="7318" width="12.44140625" style="3" customWidth="1"/>
    <col min="7319" max="7319" width="13.109375" style="3" customWidth="1"/>
    <col min="7320" max="7332" width="11.44140625" style="3"/>
    <col min="7333" max="7333" width="16.109375" style="3" customWidth="1"/>
    <col min="7334" max="7334" width="16.44140625" style="3" customWidth="1"/>
    <col min="7335" max="7346" width="11.44140625" style="3"/>
    <col min="7347" max="7347" width="12.6640625" style="3" customWidth="1"/>
    <col min="7348" max="7348" width="12" style="3" customWidth="1"/>
    <col min="7349" max="7360" width="11.44140625" style="3"/>
    <col min="7361" max="7361" width="12.5546875" style="3" customWidth="1"/>
    <col min="7362" max="7362" width="14.6640625" style="3" customWidth="1"/>
    <col min="7363" max="7372" width="13.33203125" style="3" customWidth="1"/>
    <col min="7373" max="7373" width="16.33203125" style="3" customWidth="1"/>
    <col min="7374" max="7374" width="17" style="3" customWidth="1"/>
    <col min="7375" max="7375" width="15.44140625" style="3" customWidth="1"/>
    <col min="7376" max="7376" width="15.88671875" style="3" customWidth="1"/>
    <col min="7377" max="7377" width="13.33203125" style="3" bestFit="1" customWidth="1"/>
    <col min="7378" max="7388" width="11.44140625" style="3" customWidth="1"/>
    <col min="7389" max="7389" width="15.44140625" style="3" customWidth="1"/>
    <col min="7390" max="7390" width="15.88671875" style="3" customWidth="1"/>
    <col min="7391" max="7526" width="11.44140625" style="3"/>
    <col min="7527" max="7527" width="4.109375" style="3" customWidth="1"/>
    <col min="7528" max="7528" width="23.33203125" style="3" customWidth="1"/>
    <col min="7529" max="7529" width="13.44140625" style="3" customWidth="1"/>
    <col min="7530" max="7530" width="19" style="3" customWidth="1"/>
    <col min="7531" max="7531" width="10.5546875" style="3" customWidth="1"/>
    <col min="7532" max="7532" width="14.109375" style="3" bestFit="1" customWidth="1"/>
    <col min="7533" max="7533" width="16.88671875" style="3" customWidth="1"/>
    <col min="7534" max="7534" width="20.5546875" style="3" customWidth="1"/>
    <col min="7535" max="7535" width="5.109375" style="3" customWidth="1"/>
    <col min="7536" max="7536" width="5.6640625" style="3" customWidth="1"/>
    <col min="7537" max="7537" width="16.6640625" style="3" customWidth="1"/>
    <col min="7538" max="7538" width="22.109375" style="3" customWidth="1"/>
    <col min="7539" max="7539" width="34.33203125" style="3" customWidth="1"/>
    <col min="7540" max="7540" width="26.109375" style="3" customWidth="1"/>
    <col min="7541" max="7541" width="11" style="3" customWidth="1"/>
    <col min="7542" max="7542" width="24.5546875" style="3" customWidth="1"/>
    <col min="7543" max="7543" width="4.44140625" style="3" customWidth="1"/>
    <col min="7544" max="7551" width="10.6640625" style="3" customWidth="1"/>
    <col min="7552" max="7552" width="11.6640625" style="3" customWidth="1"/>
    <col min="7553" max="7553" width="10.6640625" style="3" customWidth="1"/>
    <col min="7554" max="7554" width="11.33203125" style="3" customWidth="1"/>
    <col min="7555" max="7555" width="10.6640625" style="3" customWidth="1"/>
    <col min="7556" max="7556" width="20.44140625" style="3" customWidth="1"/>
    <col min="7557" max="7557" width="11.33203125" style="3" customWidth="1"/>
    <col min="7558" max="7558" width="11" style="3" customWidth="1"/>
    <col min="7559" max="7560" width="12" style="3" customWidth="1"/>
    <col min="7561" max="7561" width="9.44140625" style="3" customWidth="1"/>
    <col min="7562" max="7562" width="10.6640625" style="3" customWidth="1"/>
    <col min="7563" max="7572" width="9" style="3" customWidth="1"/>
    <col min="7573" max="7573" width="20.44140625" style="3" customWidth="1"/>
    <col min="7574" max="7574" width="12.44140625" style="3" customWidth="1"/>
    <col min="7575" max="7575" width="13.109375" style="3" customWidth="1"/>
    <col min="7576" max="7588" width="11.44140625" style="3"/>
    <col min="7589" max="7589" width="16.109375" style="3" customWidth="1"/>
    <col min="7590" max="7590" width="16.44140625" style="3" customWidth="1"/>
    <col min="7591" max="7602" width="11.44140625" style="3"/>
    <col min="7603" max="7603" width="12.6640625" style="3" customWidth="1"/>
    <col min="7604" max="7604" width="12" style="3" customWidth="1"/>
    <col min="7605" max="7616" width="11.44140625" style="3"/>
    <col min="7617" max="7617" width="12.5546875" style="3" customWidth="1"/>
    <col min="7618" max="7618" width="14.6640625" style="3" customWidth="1"/>
    <col min="7619" max="7628" width="13.33203125" style="3" customWidth="1"/>
    <col min="7629" max="7629" width="16.33203125" style="3" customWidth="1"/>
    <col min="7630" max="7630" width="17" style="3" customWidth="1"/>
    <col min="7631" max="7631" width="15.44140625" style="3" customWidth="1"/>
    <col min="7632" max="7632" width="15.88671875" style="3" customWidth="1"/>
    <col min="7633" max="7633" width="13.33203125" style="3" bestFit="1" customWidth="1"/>
    <col min="7634" max="7644" width="11.44140625" style="3" customWidth="1"/>
    <col min="7645" max="7645" width="15.44140625" style="3" customWidth="1"/>
    <col min="7646" max="7646" width="15.88671875" style="3" customWidth="1"/>
    <col min="7647" max="7782" width="11.44140625" style="3"/>
    <col min="7783" max="7783" width="4.109375" style="3" customWidth="1"/>
    <col min="7784" max="7784" width="23.33203125" style="3" customWidth="1"/>
    <col min="7785" max="7785" width="13.44140625" style="3" customWidth="1"/>
    <col min="7786" max="7786" width="19" style="3" customWidth="1"/>
    <col min="7787" max="7787" width="10.5546875" style="3" customWidth="1"/>
    <col min="7788" max="7788" width="14.109375" style="3" bestFit="1" customWidth="1"/>
    <col min="7789" max="7789" width="16.88671875" style="3" customWidth="1"/>
    <col min="7790" max="7790" width="20.5546875" style="3" customWidth="1"/>
    <col min="7791" max="7791" width="5.109375" style="3" customWidth="1"/>
    <col min="7792" max="7792" width="5.6640625" style="3" customWidth="1"/>
    <col min="7793" max="7793" width="16.6640625" style="3" customWidth="1"/>
    <col min="7794" max="7794" width="22.109375" style="3" customWidth="1"/>
    <col min="7795" max="7795" width="34.33203125" style="3" customWidth="1"/>
    <col min="7796" max="7796" width="26.109375" style="3" customWidth="1"/>
    <col min="7797" max="7797" width="11" style="3" customWidth="1"/>
    <col min="7798" max="7798" width="24.5546875" style="3" customWidth="1"/>
    <col min="7799" max="7799" width="4.44140625" style="3" customWidth="1"/>
    <col min="7800" max="7807" width="10.6640625" style="3" customWidth="1"/>
    <col min="7808" max="7808" width="11.6640625" style="3" customWidth="1"/>
    <col min="7809" max="7809" width="10.6640625" style="3" customWidth="1"/>
    <col min="7810" max="7810" width="11.33203125" style="3" customWidth="1"/>
    <col min="7811" max="7811" width="10.6640625" style="3" customWidth="1"/>
    <col min="7812" max="7812" width="20.44140625" style="3" customWidth="1"/>
    <col min="7813" max="7813" width="11.33203125" style="3" customWidth="1"/>
    <col min="7814" max="7814" width="11" style="3" customWidth="1"/>
    <col min="7815" max="7816" width="12" style="3" customWidth="1"/>
    <col min="7817" max="7817" width="9.44140625" style="3" customWidth="1"/>
    <col min="7818" max="7818" width="10.6640625" style="3" customWidth="1"/>
    <col min="7819" max="7828" width="9" style="3" customWidth="1"/>
    <col min="7829" max="7829" width="20.44140625" style="3" customWidth="1"/>
    <col min="7830" max="7830" width="12.44140625" style="3" customWidth="1"/>
    <col min="7831" max="7831" width="13.109375" style="3" customWidth="1"/>
    <col min="7832" max="7844" width="11.44140625" style="3"/>
    <col min="7845" max="7845" width="16.109375" style="3" customWidth="1"/>
    <col min="7846" max="7846" width="16.44140625" style="3" customWidth="1"/>
    <col min="7847" max="7858" width="11.44140625" style="3"/>
    <col min="7859" max="7859" width="12.6640625" style="3" customWidth="1"/>
    <col min="7860" max="7860" width="12" style="3" customWidth="1"/>
    <col min="7861" max="7872" width="11.44140625" style="3"/>
    <col min="7873" max="7873" width="12.5546875" style="3" customWidth="1"/>
    <col min="7874" max="7874" width="14.6640625" style="3" customWidth="1"/>
    <col min="7875" max="7884" width="13.33203125" style="3" customWidth="1"/>
    <col min="7885" max="7885" width="16.33203125" style="3" customWidth="1"/>
    <col min="7886" max="7886" width="17" style="3" customWidth="1"/>
    <col min="7887" max="7887" width="15.44140625" style="3" customWidth="1"/>
    <col min="7888" max="7888" width="15.88671875" style="3" customWidth="1"/>
    <col min="7889" max="7889" width="13.33203125" style="3" bestFit="1" customWidth="1"/>
    <col min="7890" max="7900" width="11.44140625" style="3" customWidth="1"/>
    <col min="7901" max="7901" width="15.44140625" style="3" customWidth="1"/>
    <col min="7902" max="7902" width="15.88671875" style="3" customWidth="1"/>
    <col min="7903" max="8038" width="11.44140625" style="3"/>
    <col min="8039" max="8039" width="4.109375" style="3" customWidth="1"/>
    <col min="8040" max="8040" width="23.33203125" style="3" customWidth="1"/>
    <col min="8041" max="8041" width="13.44140625" style="3" customWidth="1"/>
    <col min="8042" max="8042" width="19" style="3" customWidth="1"/>
    <col min="8043" max="8043" width="10.5546875" style="3" customWidth="1"/>
    <col min="8044" max="8044" width="14.109375" style="3" bestFit="1" customWidth="1"/>
    <col min="8045" max="8045" width="16.88671875" style="3" customWidth="1"/>
    <col min="8046" max="8046" width="20.5546875" style="3" customWidth="1"/>
    <col min="8047" max="8047" width="5.109375" style="3" customWidth="1"/>
    <col min="8048" max="8048" width="5.6640625" style="3" customWidth="1"/>
    <col min="8049" max="8049" width="16.6640625" style="3" customWidth="1"/>
    <col min="8050" max="8050" width="22.109375" style="3" customWidth="1"/>
    <col min="8051" max="8051" width="34.33203125" style="3" customWidth="1"/>
    <col min="8052" max="8052" width="26.109375" style="3" customWidth="1"/>
    <col min="8053" max="8053" width="11" style="3" customWidth="1"/>
    <col min="8054" max="8054" width="24.5546875" style="3" customWidth="1"/>
    <col min="8055" max="8055" width="4.44140625" style="3" customWidth="1"/>
    <col min="8056" max="8063" width="10.6640625" style="3" customWidth="1"/>
    <col min="8064" max="8064" width="11.6640625" style="3" customWidth="1"/>
    <col min="8065" max="8065" width="10.6640625" style="3" customWidth="1"/>
    <col min="8066" max="8066" width="11.33203125" style="3" customWidth="1"/>
    <col min="8067" max="8067" width="10.6640625" style="3" customWidth="1"/>
    <col min="8068" max="8068" width="20.44140625" style="3" customWidth="1"/>
    <col min="8069" max="8069" width="11.33203125" style="3" customWidth="1"/>
    <col min="8070" max="8070" width="11" style="3" customWidth="1"/>
    <col min="8071" max="8072" width="12" style="3" customWidth="1"/>
    <col min="8073" max="8073" width="9.44140625" style="3" customWidth="1"/>
    <col min="8074" max="8074" width="10.6640625" style="3" customWidth="1"/>
    <col min="8075" max="8084" width="9" style="3" customWidth="1"/>
    <col min="8085" max="8085" width="20.44140625" style="3" customWidth="1"/>
    <col min="8086" max="8086" width="12.44140625" style="3" customWidth="1"/>
    <col min="8087" max="8087" width="13.109375" style="3" customWidth="1"/>
    <col min="8088" max="8100" width="11.44140625" style="3"/>
    <col min="8101" max="8101" width="16.109375" style="3" customWidth="1"/>
    <col min="8102" max="8102" width="16.44140625" style="3" customWidth="1"/>
    <col min="8103" max="8114" width="11.44140625" style="3"/>
    <col min="8115" max="8115" width="12.6640625" style="3" customWidth="1"/>
    <col min="8116" max="8116" width="12" style="3" customWidth="1"/>
    <col min="8117" max="8128" width="11.44140625" style="3"/>
    <col min="8129" max="8129" width="12.5546875" style="3" customWidth="1"/>
    <col min="8130" max="8130" width="14.6640625" style="3" customWidth="1"/>
    <col min="8131" max="8140" width="13.33203125" style="3" customWidth="1"/>
    <col min="8141" max="8141" width="16.33203125" style="3" customWidth="1"/>
    <col min="8142" max="8142" width="17" style="3" customWidth="1"/>
    <col min="8143" max="8143" width="15.44140625" style="3" customWidth="1"/>
    <col min="8144" max="8144" width="15.88671875" style="3" customWidth="1"/>
    <col min="8145" max="8145" width="13.33203125" style="3" bestFit="1" customWidth="1"/>
    <col min="8146" max="8156" width="11.44140625" style="3" customWidth="1"/>
    <col min="8157" max="8157" width="15.44140625" style="3" customWidth="1"/>
    <col min="8158" max="8158" width="15.88671875" style="3" customWidth="1"/>
    <col min="8159" max="8294" width="11.44140625" style="3"/>
    <col min="8295" max="8295" width="4.109375" style="3" customWidth="1"/>
    <col min="8296" max="8296" width="23.33203125" style="3" customWidth="1"/>
    <col min="8297" max="8297" width="13.44140625" style="3" customWidth="1"/>
    <col min="8298" max="8298" width="19" style="3" customWidth="1"/>
    <col min="8299" max="8299" width="10.5546875" style="3" customWidth="1"/>
    <col min="8300" max="8300" width="14.109375" style="3" bestFit="1" customWidth="1"/>
    <col min="8301" max="8301" width="16.88671875" style="3" customWidth="1"/>
    <col min="8302" max="8302" width="20.5546875" style="3" customWidth="1"/>
    <col min="8303" max="8303" width="5.109375" style="3" customWidth="1"/>
    <col min="8304" max="8304" width="5.6640625" style="3" customWidth="1"/>
    <col min="8305" max="8305" width="16.6640625" style="3" customWidth="1"/>
    <col min="8306" max="8306" width="22.109375" style="3" customWidth="1"/>
    <col min="8307" max="8307" width="34.33203125" style="3" customWidth="1"/>
    <col min="8308" max="8308" width="26.109375" style="3" customWidth="1"/>
    <col min="8309" max="8309" width="11" style="3" customWidth="1"/>
    <col min="8310" max="8310" width="24.5546875" style="3" customWidth="1"/>
    <col min="8311" max="8311" width="4.44140625" style="3" customWidth="1"/>
    <col min="8312" max="8319" width="10.6640625" style="3" customWidth="1"/>
    <col min="8320" max="8320" width="11.6640625" style="3" customWidth="1"/>
    <col min="8321" max="8321" width="10.6640625" style="3" customWidth="1"/>
    <col min="8322" max="8322" width="11.33203125" style="3" customWidth="1"/>
    <col min="8323" max="8323" width="10.6640625" style="3" customWidth="1"/>
    <col min="8324" max="8324" width="20.44140625" style="3" customWidth="1"/>
    <col min="8325" max="8325" width="11.33203125" style="3" customWidth="1"/>
    <col min="8326" max="8326" width="11" style="3" customWidth="1"/>
    <col min="8327" max="8328" width="12" style="3" customWidth="1"/>
    <col min="8329" max="8329" width="9.44140625" style="3" customWidth="1"/>
    <col min="8330" max="8330" width="10.6640625" style="3" customWidth="1"/>
    <col min="8331" max="8340" width="9" style="3" customWidth="1"/>
    <col min="8341" max="8341" width="20.44140625" style="3" customWidth="1"/>
    <col min="8342" max="8342" width="12.44140625" style="3" customWidth="1"/>
    <col min="8343" max="8343" width="13.109375" style="3" customWidth="1"/>
    <col min="8344" max="8356" width="11.44140625" style="3"/>
    <col min="8357" max="8357" width="16.109375" style="3" customWidth="1"/>
    <col min="8358" max="8358" width="16.44140625" style="3" customWidth="1"/>
    <col min="8359" max="8370" width="11.44140625" style="3"/>
    <col min="8371" max="8371" width="12.6640625" style="3" customWidth="1"/>
    <col min="8372" max="8372" width="12" style="3" customWidth="1"/>
    <col min="8373" max="8384" width="11.44140625" style="3"/>
    <col min="8385" max="8385" width="12.5546875" style="3" customWidth="1"/>
    <col min="8386" max="8386" width="14.6640625" style="3" customWidth="1"/>
    <col min="8387" max="8396" width="13.33203125" style="3" customWidth="1"/>
    <col min="8397" max="8397" width="16.33203125" style="3" customWidth="1"/>
    <col min="8398" max="8398" width="17" style="3" customWidth="1"/>
    <col min="8399" max="8399" width="15.44140625" style="3" customWidth="1"/>
    <col min="8400" max="8400" width="15.88671875" style="3" customWidth="1"/>
    <col min="8401" max="8401" width="13.33203125" style="3" bestFit="1" customWidth="1"/>
    <col min="8402" max="8412" width="11.44140625" style="3" customWidth="1"/>
    <col min="8413" max="8413" width="15.44140625" style="3" customWidth="1"/>
    <col min="8414" max="8414" width="15.88671875" style="3" customWidth="1"/>
    <col min="8415" max="8550" width="11.44140625" style="3"/>
    <col min="8551" max="8551" width="4.109375" style="3" customWidth="1"/>
    <col min="8552" max="8552" width="23.33203125" style="3" customWidth="1"/>
    <col min="8553" max="8553" width="13.44140625" style="3" customWidth="1"/>
    <col min="8554" max="8554" width="19" style="3" customWidth="1"/>
    <col min="8555" max="8555" width="10.5546875" style="3" customWidth="1"/>
    <col min="8556" max="8556" width="14.109375" style="3" bestFit="1" customWidth="1"/>
    <col min="8557" max="8557" width="16.88671875" style="3" customWidth="1"/>
    <col min="8558" max="8558" width="20.5546875" style="3" customWidth="1"/>
    <col min="8559" max="8559" width="5.109375" style="3" customWidth="1"/>
    <col min="8560" max="8560" width="5.6640625" style="3" customWidth="1"/>
    <col min="8561" max="8561" width="16.6640625" style="3" customWidth="1"/>
    <col min="8562" max="8562" width="22.109375" style="3" customWidth="1"/>
    <col min="8563" max="8563" width="34.33203125" style="3" customWidth="1"/>
    <col min="8564" max="8564" width="26.109375" style="3" customWidth="1"/>
    <col min="8565" max="8565" width="11" style="3" customWidth="1"/>
    <col min="8566" max="8566" width="24.5546875" style="3" customWidth="1"/>
    <col min="8567" max="8567" width="4.44140625" style="3" customWidth="1"/>
    <col min="8568" max="8575" width="10.6640625" style="3" customWidth="1"/>
    <col min="8576" max="8576" width="11.6640625" style="3" customWidth="1"/>
    <col min="8577" max="8577" width="10.6640625" style="3" customWidth="1"/>
    <col min="8578" max="8578" width="11.33203125" style="3" customWidth="1"/>
    <col min="8579" max="8579" width="10.6640625" style="3" customWidth="1"/>
    <col min="8580" max="8580" width="20.44140625" style="3" customWidth="1"/>
    <col min="8581" max="8581" width="11.33203125" style="3" customWidth="1"/>
    <col min="8582" max="8582" width="11" style="3" customWidth="1"/>
    <col min="8583" max="8584" width="12" style="3" customWidth="1"/>
    <col min="8585" max="8585" width="9.44140625" style="3" customWidth="1"/>
    <col min="8586" max="8586" width="10.6640625" style="3" customWidth="1"/>
    <col min="8587" max="8596" width="9" style="3" customWidth="1"/>
    <col min="8597" max="8597" width="20.44140625" style="3" customWidth="1"/>
    <col min="8598" max="8598" width="12.44140625" style="3" customWidth="1"/>
    <col min="8599" max="8599" width="13.109375" style="3" customWidth="1"/>
    <col min="8600" max="8612" width="11.44140625" style="3"/>
    <col min="8613" max="8613" width="16.109375" style="3" customWidth="1"/>
    <col min="8614" max="8614" width="16.44140625" style="3" customWidth="1"/>
    <col min="8615" max="8626" width="11.44140625" style="3"/>
    <col min="8627" max="8627" width="12.6640625" style="3" customWidth="1"/>
    <col min="8628" max="8628" width="12" style="3" customWidth="1"/>
    <col min="8629" max="8640" width="11.44140625" style="3"/>
    <col min="8641" max="8641" width="12.5546875" style="3" customWidth="1"/>
    <col min="8642" max="8642" width="14.6640625" style="3" customWidth="1"/>
    <col min="8643" max="8652" width="13.33203125" style="3" customWidth="1"/>
    <col min="8653" max="8653" width="16.33203125" style="3" customWidth="1"/>
    <col min="8654" max="8654" width="17" style="3" customWidth="1"/>
    <col min="8655" max="8655" width="15.44140625" style="3" customWidth="1"/>
    <col min="8656" max="8656" width="15.88671875" style="3" customWidth="1"/>
    <col min="8657" max="8657" width="13.33203125" style="3" bestFit="1" customWidth="1"/>
    <col min="8658" max="8668" width="11.44140625" style="3" customWidth="1"/>
    <col min="8669" max="8669" width="15.44140625" style="3" customWidth="1"/>
    <col min="8670" max="8670" width="15.88671875" style="3" customWidth="1"/>
    <col min="8671" max="8806" width="11.44140625" style="3"/>
    <col min="8807" max="8807" width="4.109375" style="3" customWidth="1"/>
    <col min="8808" max="8808" width="23.33203125" style="3" customWidth="1"/>
    <col min="8809" max="8809" width="13.44140625" style="3" customWidth="1"/>
    <col min="8810" max="8810" width="19" style="3" customWidth="1"/>
    <col min="8811" max="8811" width="10.5546875" style="3" customWidth="1"/>
    <col min="8812" max="8812" width="14.109375" style="3" bestFit="1" customWidth="1"/>
    <col min="8813" max="8813" width="16.88671875" style="3" customWidth="1"/>
    <col min="8814" max="8814" width="20.5546875" style="3" customWidth="1"/>
    <col min="8815" max="8815" width="5.109375" style="3" customWidth="1"/>
    <col min="8816" max="8816" width="5.6640625" style="3" customWidth="1"/>
    <col min="8817" max="8817" width="16.6640625" style="3" customWidth="1"/>
    <col min="8818" max="8818" width="22.109375" style="3" customWidth="1"/>
    <col min="8819" max="8819" width="34.33203125" style="3" customWidth="1"/>
    <col min="8820" max="8820" width="26.109375" style="3" customWidth="1"/>
    <col min="8821" max="8821" width="11" style="3" customWidth="1"/>
    <col min="8822" max="8822" width="24.5546875" style="3" customWidth="1"/>
    <col min="8823" max="8823" width="4.44140625" style="3" customWidth="1"/>
    <col min="8824" max="8831" width="10.6640625" style="3" customWidth="1"/>
    <col min="8832" max="8832" width="11.6640625" style="3" customWidth="1"/>
    <col min="8833" max="8833" width="10.6640625" style="3" customWidth="1"/>
    <col min="8834" max="8834" width="11.33203125" style="3" customWidth="1"/>
    <col min="8835" max="8835" width="10.6640625" style="3" customWidth="1"/>
    <col min="8836" max="8836" width="20.44140625" style="3" customWidth="1"/>
    <col min="8837" max="8837" width="11.33203125" style="3" customWidth="1"/>
    <col min="8838" max="8838" width="11" style="3" customWidth="1"/>
    <col min="8839" max="8840" width="12" style="3" customWidth="1"/>
    <col min="8841" max="8841" width="9.44140625" style="3" customWidth="1"/>
    <col min="8842" max="8842" width="10.6640625" style="3" customWidth="1"/>
    <col min="8843" max="8852" width="9" style="3" customWidth="1"/>
    <col min="8853" max="8853" width="20.44140625" style="3" customWidth="1"/>
    <col min="8854" max="8854" width="12.44140625" style="3" customWidth="1"/>
    <col min="8855" max="8855" width="13.109375" style="3" customWidth="1"/>
    <col min="8856" max="8868" width="11.44140625" style="3"/>
    <col min="8869" max="8869" width="16.109375" style="3" customWidth="1"/>
    <col min="8870" max="8870" width="16.44140625" style="3" customWidth="1"/>
    <col min="8871" max="8882" width="11.44140625" style="3"/>
    <col min="8883" max="8883" width="12.6640625" style="3" customWidth="1"/>
    <col min="8884" max="8884" width="12" style="3" customWidth="1"/>
    <col min="8885" max="8896" width="11.44140625" style="3"/>
    <col min="8897" max="8897" width="12.5546875" style="3" customWidth="1"/>
    <col min="8898" max="8898" width="14.6640625" style="3" customWidth="1"/>
    <col min="8899" max="8908" width="13.33203125" style="3" customWidth="1"/>
    <col min="8909" max="8909" width="16.33203125" style="3" customWidth="1"/>
    <col min="8910" max="8910" width="17" style="3" customWidth="1"/>
    <col min="8911" max="8911" width="15.44140625" style="3" customWidth="1"/>
    <col min="8912" max="8912" width="15.88671875" style="3" customWidth="1"/>
    <col min="8913" max="8913" width="13.33203125" style="3" bestFit="1" customWidth="1"/>
    <col min="8914" max="8924" width="11.44140625" style="3" customWidth="1"/>
    <col min="8925" max="8925" width="15.44140625" style="3" customWidth="1"/>
    <col min="8926" max="8926" width="15.88671875" style="3" customWidth="1"/>
    <col min="8927" max="9062" width="11.44140625" style="3"/>
    <col min="9063" max="9063" width="4.109375" style="3" customWidth="1"/>
    <col min="9064" max="9064" width="23.33203125" style="3" customWidth="1"/>
    <col min="9065" max="9065" width="13.44140625" style="3" customWidth="1"/>
    <col min="9066" max="9066" width="19" style="3" customWidth="1"/>
    <col min="9067" max="9067" width="10.5546875" style="3" customWidth="1"/>
    <col min="9068" max="9068" width="14.109375" style="3" bestFit="1" customWidth="1"/>
    <col min="9069" max="9069" width="16.88671875" style="3" customWidth="1"/>
    <col min="9070" max="9070" width="20.5546875" style="3" customWidth="1"/>
    <col min="9071" max="9071" width="5.109375" style="3" customWidth="1"/>
    <col min="9072" max="9072" width="5.6640625" style="3" customWidth="1"/>
    <col min="9073" max="9073" width="16.6640625" style="3" customWidth="1"/>
    <col min="9074" max="9074" width="22.109375" style="3" customWidth="1"/>
    <col min="9075" max="9075" width="34.33203125" style="3" customWidth="1"/>
    <col min="9076" max="9076" width="26.109375" style="3" customWidth="1"/>
    <col min="9077" max="9077" width="11" style="3" customWidth="1"/>
    <col min="9078" max="9078" width="24.5546875" style="3" customWidth="1"/>
    <col min="9079" max="9079" width="4.44140625" style="3" customWidth="1"/>
    <col min="9080" max="9087" width="10.6640625" style="3" customWidth="1"/>
    <col min="9088" max="9088" width="11.6640625" style="3" customWidth="1"/>
    <col min="9089" max="9089" width="10.6640625" style="3" customWidth="1"/>
    <col min="9090" max="9090" width="11.33203125" style="3" customWidth="1"/>
    <col min="9091" max="9091" width="10.6640625" style="3" customWidth="1"/>
    <col min="9092" max="9092" width="20.44140625" style="3" customWidth="1"/>
    <col min="9093" max="9093" width="11.33203125" style="3" customWidth="1"/>
    <col min="9094" max="9094" width="11" style="3" customWidth="1"/>
    <col min="9095" max="9096" width="12" style="3" customWidth="1"/>
    <col min="9097" max="9097" width="9.44140625" style="3" customWidth="1"/>
    <col min="9098" max="9098" width="10.6640625" style="3" customWidth="1"/>
    <col min="9099" max="9108" width="9" style="3" customWidth="1"/>
    <col min="9109" max="9109" width="20.44140625" style="3" customWidth="1"/>
    <col min="9110" max="9110" width="12.44140625" style="3" customWidth="1"/>
    <col min="9111" max="9111" width="13.109375" style="3" customWidth="1"/>
    <col min="9112" max="9124" width="11.44140625" style="3"/>
    <col min="9125" max="9125" width="16.109375" style="3" customWidth="1"/>
    <col min="9126" max="9126" width="16.44140625" style="3" customWidth="1"/>
    <col min="9127" max="9138" width="11.44140625" style="3"/>
    <col min="9139" max="9139" width="12.6640625" style="3" customWidth="1"/>
    <col min="9140" max="9140" width="12" style="3" customWidth="1"/>
    <col min="9141" max="9152" width="11.44140625" style="3"/>
    <col min="9153" max="9153" width="12.5546875" style="3" customWidth="1"/>
    <col min="9154" max="9154" width="14.6640625" style="3" customWidth="1"/>
    <col min="9155" max="9164" width="13.33203125" style="3" customWidth="1"/>
    <col min="9165" max="9165" width="16.33203125" style="3" customWidth="1"/>
    <col min="9166" max="9166" width="17" style="3" customWidth="1"/>
    <col min="9167" max="9167" width="15.44140625" style="3" customWidth="1"/>
    <col min="9168" max="9168" width="15.88671875" style="3" customWidth="1"/>
    <col min="9169" max="9169" width="13.33203125" style="3" bestFit="1" customWidth="1"/>
    <col min="9170" max="9180" width="11.44140625" style="3" customWidth="1"/>
    <col min="9181" max="9181" width="15.44140625" style="3" customWidth="1"/>
    <col min="9182" max="9182" width="15.88671875" style="3" customWidth="1"/>
    <col min="9183" max="9318" width="11.44140625" style="3"/>
    <col min="9319" max="9319" width="4.109375" style="3" customWidth="1"/>
    <col min="9320" max="9320" width="23.33203125" style="3" customWidth="1"/>
    <col min="9321" max="9321" width="13.44140625" style="3" customWidth="1"/>
    <col min="9322" max="9322" width="19" style="3" customWidth="1"/>
    <col min="9323" max="9323" width="10.5546875" style="3" customWidth="1"/>
    <col min="9324" max="9324" width="14.109375" style="3" bestFit="1" customWidth="1"/>
    <col min="9325" max="9325" width="16.88671875" style="3" customWidth="1"/>
    <col min="9326" max="9326" width="20.5546875" style="3" customWidth="1"/>
    <col min="9327" max="9327" width="5.109375" style="3" customWidth="1"/>
    <col min="9328" max="9328" width="5.6640625" style="3" customWidth="1"/>
    <col min="9329" max="9329" width="16.6640625" style="3" customWidth="1"/>
    <col min="9330" max="9330" width="22.109375" style="3" customWidth="1"/>
    <col min="9331" max="9331" width="34.33203125" style="3" customWidth="1"/>
    <col min="9332" max="9332" width="26.109375" style="3" customWidth="1"/>
    <col min="9333" max="9333" width="11" style="3" customWidth="1"/>
    <col min="9334" max="9334" width="24.5546875" style="3" customWidth="1"/>
    <col min="9335" max="9335" width="4.44140625" style="3" customWidth="1"/>
    <col min="9336" max="9343" width="10.6640625" style="3" customWidth="1"/>
    <col min="9344" max="9344" width="11.6640625" style="3" customWidth="1"/>
    <col min="9345" max="9345" width="10.6640625" style="3" customWidth="1"/>
    <col min="9346" max="9346" width="11.33203125" style="3" customWidth="1"/>
    <col min="9347" max="9347" width="10.6640625" style="3" customWidth="1"/>
    <col min="9348" max="9348" width="20.44140625" style="3" customWidth="1"/>
    <col min="9349" max="9349" width="11.33203125" style="3" customWidth="1"/>
    <col min="9350" max="9350" width="11" style="3" customWidth="1"/>
    <col min="9351" max="9352" width="12" style="3" customWidth="1"/>
    <col min="9353" max="9353" width="9.44140625" style="3" customWidth="1"/>
    <col min="9354" max="9354" width="10.6640625" style="3" customWidth="1"/>
    <col min="9355" max="9364" width="9" style="3" customWidth="1"/>
    <col min="9365" max="9365" width="20.44140625" style="3" customWidth="1"/>
    <col min="9366" max="9366" width="12.44140625" style="3" customWidth="1"/>
    <col min="9367" max="9367" width="13.109375" style="3" customWidth="1"/>
    <col min="9368" max="9380" width="11.44140625" style="3"/>
    <col min="9381" max="9381" width="16.109375" style="3" customWidth="1"/>
    <col min="9382" max="9382" width="16.44140625" style="3" customWidth="1"/>
    <col min="9383" max="9394" width="11.44140625" style="3"/>
    <col min="9395" max="9395" width="12.6640625" style="3" customWidth="1"/>
    <col min="9396" max="9396" width="12" style="3" customWidth="1"/>
    <col min="9397" max="9408" width="11.44140625" style="3"/>
    <col min="9409" max="9409" width="12.5546875" style="3" customWidth="1"/>
    <col min="9410" max="9410" width="14.6640625" style="3" customWidth="1"/>
    <col min="9411" max="9420" width="13.33203125" style="3" customWidth="1"/>
    <col min="9421" max="9421" width="16.33203125" style="3" customWidth="1"/>
    <col min="9422" max="9422" width="17" style="3" customWidth="1"/>
    <col min="9423" max="9423" width="15.44140625" style="3" customWidth="1"/>
    <col min="9424" max="9424" width="15.88671875" style="3" customWidth="1"/>
    <col min="9425" max="9425" width="13.33203125" style="3" bestFit="1" customWidth="1"/>
    <col min="9426" max="9436" width="11.44140625" style="3" customWidth="1"/>
    <col min="9437" max="9437" width="15.44140625" style="3" customWidth="1"/>
    <col min="9438" max="9438" width="15.88671875" style="3" customWidth="1"/>
    <col min="9439" max="9574" width="11.44140625" style="3"/>
    <col min="9575" max="9575" width="4.109375" style="3" customWidth="1"/>
    <col min="9576" max="9576" width="23.33203125" style="3" customWidth="1"/>
    <col min="9577" max="9577" width="13.44140625" style="3" customWidth="1"/>
    <col min="9578" max="9578" width="19" style="3" customWidth="1"/>
    <col min="9579" max="9579" width="10.5546875" style="3" customWidth="1"/>
    <col min="9580" max="9580" width="14.109375" style="3" bestFit="1" customWidth="1"/>
    <col min="9581" max="9581" width="16.88671875" style="3" customWidth="1"/>
    <col min="9582" max="9582" width="20.5546875" style="3" customWidth="1"/>
    <col min="9583" max="9583" width="5.109375" style="3" customWidth="1"/>
    <col min="9584" max="9584" width="5.6640625" style="3" customWidth="1"/>
    <col min="9585" max="9585" width="16.6640625" style="3" customWidth="1"/>
    <col min="9586" max="9586" width="22.109375" style="3" customWidth="1"/>
    <col min="9587" max="9587" width="34.33203125" style="3" customWidth="1"/>
    <col min="9588" max="9588" width="26.109375" style="3" customWidth="1"/>
    <col min="9589" max="9589" width="11" style="3" customWidth="1"/>
    <col min="9590" max="9590" width="24.5546875" style="3" customWidth="1"/>
    <col min="9591" max="9591" width="4.44140625" style="3" customWidth="1"/>
    <col min="9592" max="9599" width="10.6640625" style="3" customWidth="1"/>
    <col min="9600" max="9600" width="11.6640625" style="3" customWidth="1"/>
    <col min="9601" max="9601" width="10.6640625" style="3" customWidth="1"/>
    <col min="9602" max="9602" width="11.33203125" style="3" customWidth="1"/>
    <col min="9603" max="9603" width="10.6640625" style="3" customWidth="1"/>
    <col min="9604" max="9604" width="20.44140625" style="3" customWidth="1"/>
    <col min="9605" max="9605" width="11.33203125" style="3" customWidth="1"/>
    <col min="9606" max="9606" width="11" style="3" customWidth="1"/>
    <col min="9607" max="9608" width="12" style="3" customWidth="1"/>
    <col min="9609" max="9609" width="9.44140625" style="3" customWidth="1"/>
    <col min="9610" max="9610" width="10.6640625" style="3" customWidth="1"/>
    <col min="9611" max="9620" width="9" style="3" customWidth="1"/>
    <col min="9621" max="9621" width="20.44140625" style="3" customWidth="1"/>
    <col min="9622" max="9622" width="12.44140625" style="3" customWidth="1"/>
    <col min="9623" max="9623" width="13.109375" style="3" customWidth="1"/>
    <col min="9624" max="9636" width="11.44140625" style="3"/>
    <col min="9637" max="9637" width="16.109375" style="3" customWidth="1"/>
    <col min="9638" max="9638" width="16.44140625" style="3" customWidth="1"/>
    <col min="9639" max="9650" width="11.44140625" style="3"/>
    <col min="9651" max="9651" width="12.6640625" style="3" customWidth="1"/>
    <col min="9652" max="9652" width="12" style="3" customWidth="1"/>
    <col min="9653" max="9664" width="11.44140625" style="3"/>
    <col min="9665" max="9665" width="12.5546875" style="3" customWidth="1"/>
    <col min="9666" max="9666" width="14.6640625" style="3" customWidth="1"/>
    <col min="9667" max="9676" width="13.33203125" style="3" customWidth="1"/>
    <col min="9677" max="9677" width="16.33203125" style="3" customWidth="1"/>
    <col min="9678" max="9678" width="17" style="3" customWidth="1"/>
    <col min="9679" max="9679" width="15.44140625" style="3" customWidth="1"/>
    <col min="9680" max="9680" width="15.88671875" style="3" customWidth="1"/>
    <col min="9681" max="9681" width="13.33203125" style="3" bestFit="1" customWidth="1"/>
    <col min="9682" max="9692" width="11.44140625" style="3" customWidth="1"/>
    <col min="9693" max="9693" width="15.44140625" style="3" customWidth="1"/>
    <col min="9694" max="9694" width="15.88671875" style="3" customWidth="1"/>
    <col min="9695" max="9830" width="11.44140625" style="3"/>
    <col min="9831" max="9831" width="4.109375" style="3" customWidth="1"/>
    <col min="9832" max="9832" width="23.33203125" style="3" customWidth="1"/>
    <col min="9833" max="9833" width="13.44140625" style="3" customWidth="1"/>
    <col min="9834" max="9834" width="19" style="3" customWidth="1"/>
    <col min="9835" max="9835" width="10.5546875" style="3" customWidth="1"/>
    <col min="9836" max="9836" width="14.109375" style="3" bestFit="1" customWidth="1"/>
    <col min="9837" max="9837" width="16.88671875" style="3" customWidth="1"/>
    <col min="9838" max="9838" width="20.5546875" style="3" customWidth="1"/>
    <col min="9839" max="9839" width="5.109375" style="3" customWidth="1"/>
    <col min="9840" max="9840" width="5.6640625" style="3" customWidth="1"/>
    <col min="9841" max="9841" width="16.6640625" style="3" customWidth="1"/>
    <col min="9842" max="9842" width="22.109375" style="3" customWidth="1"/>
    <col min="9843" max="9843" width="34.33203125" style="3" customWidth="1"/>
    <col min="9844" max="9844" width="26.109375" style="3" customWidth="1"/>
    <col min="9845" max="9845" width="11" style="3" customWidth="1"/>
    <col min="9846" max="9846" width="24.5546875" style="3" customWidth="1"/>
    <col min="9847" max="9847" width="4.44140625" style="3" customWidth="1"/>
    <col min="9848" max="9855" width="10.6640625" style="3" customWidth="1"/>
    <col min="9856" max="9856" width="11.6640625" style="3" customWidth="1"/>
    <col min="9857" max="9857" width="10.6640625" style="3" customWidth="1"/>
    <col min="9858" max="9858" width="11.33203125" style="3" customWidth="1"/>
    <col min="9859" max="9859" width="10.6640625" style="3" customWidth="1"/>
    <col min="9860" max="9860" width="20.44140625" style="3" customWidth="1"/>
    <col min="9861" max="9861" width="11.33203125" style="3" customWidth="1"/>
    <col min="9862" max="9862" width="11" style="3" customWidth="1"/>
    <col min="9863" max="9864" width="12" style="3" customWidth="1"/>
    <col min="9865" max="9865" width="9.44140625" style="3" customWidth="1"/>
    <col min="9866" max="9866" width="10.6640625" style="3" customWidth="1"/>
    <col min="9867" max="9876" width="9" style="3" customWidth="1"/>
    <col min="9877" max="9877" width="20.44140625" style="3" customWidth="1"/>
    <col min="9878" max="9878" width="12.44140625" style="3" customWidth="1"/>
    <col min="9879" max="9879" width="13.109375" style="3" customWidth="1"/>
    <col min="9880" max="9892" width="11.44140625" style="3"/>
    <col min="9893" max="9893" width="16.109375" style="3" customWidth="1"/>
    <col min="9894" max="9894" width="16.44140625" style="3" customWidth="1"/>
    <col min="9895" max="9906" width="11.44140625" style="3"/>
    <col min="9907" max="9907" width="12.6640625" style="3" customWidth="1"/>
    <col min="9908" max="9908" width="12" style="3" customWidth="1"/>
    <col min="9909" max="9920" width="11.44140625" style="3"/>
    <col min="9921" max="9921" width="12.5546875" style="3" customWidth="1"/>
    <col min="9922" max="9922" width="14.6640625" style="3" customWidth="1"/>
    <col min="9923" max="9932" width="13.33203125" style="3" customWidth="1"/>
    <col min="9933" max="9933" width="16.33203125" style="3" customWidth="1"/>
    <col min="9934" max="9934" width="17" style="3" customWidth="1"/>
    <col min="9935" max="9935" width="15.44140625" style="3" customWidth="1"/>
    <col min="9936" max="9936" width="15.88671875" style="3" customWidth="1"/>
    <col min="9937" max="9937" width="13.33203125" style="3" bestFit="1" customWidth="1"/>
    <col min="9938" max="9948" width="11.44140625" style="3" customWidth="1"/>
    <col min="9949" max="9949" width="15.44140625" style="3" customWidth="1"/>
    <col min="9950" max="9950" width="15.88671875" style="3" customWidth="1"/>
    <col min="9951" max="10086" width="11.44140625" style="3"/>
    <col min="10087" max="10087" width="4.109375" style="3" customWidth="1"/>
    <col min="10088" max="10088" width="23.33203125" style="3" customWidth="1"/>
    <col min="10089" max="10089" width="13.44140625" style="3" customWidth="1"/>
    <col min="10090" max="10090" width="19" style="3" customWidth="1"/>
    <col min="10091" max="10091" width="10.5546875" style="3" customWidth="1"/>
    <col min="10092" max="10092" width="14.109375" style="3" bestFit="1" customWidth="1"/>
    <col min="10093" max="10093" width="16.88671875" style="3" customWidth="1"/>
    <col min="10094" max="10094" width="20.5546875" style="3" customWidth="1"/>
    <col min="10095" max="10095" width="5.109375" style="3" customWidth="1"/>
    <col min="10096" max="10096" width="5.6640625" style="3" customWidth="1"/>
    <col min="10097" max="10097" width="16.6640625" style="3" customWidth="1"/>
    <col min="10098" max="10098" width="22.109375" style="3" customWidth="1"/>
    <col min="10099" max="10099" width="34.33203125" style="3" customWidth="1"/>
    <col min="10100" max="10100" width="26.109375" style="3" customWidth="1"/>
    <col min="10101" max="10101" width="11" style="3" customWidth="1"/>
    <col min="10102" max="10102" width="24.5546875" style="3" customWidth="1"/>
    <col min="10103" max="10103" width="4.44140625" style="3" customWidth="1"/>
    <col min="10104" max="10111" width="10.6640625" style="3" customWidth="1"/>
    <col min="10112" max="10112" width="11.6640625" style="3" customWidth="1"/>
    <col min="10113" max="10113" width="10.6640625" style="3" customWidth="1"/>
    <col min="10114" max="10114" width="11.33203125" style="3" customWidth="1"/>
    <col min="10115" max="10115" width="10.6640625" style="3" customWidth="1"/>
    <col min="10116" max="10116" width="20.44140625" style="3" customWidth="1"/>
    <col min="10117" max="10117" width="11.33203125" style="3" customWidth="1"/>
    <col min="10118" max="10118" width="11" style="3" customWidth="1"/>
    <col min="10119" max="10120" width="12" style="3" customWidth="1"/>
    <col min="10121" max="10121" width="9.44140625" style="3" customWidth="1"/>
    <col min="10122" max="10122" width="10.6640625" style="3" customWidth="1"/>
    <col min="10123" max="10132" width="9" style="3" customWidth="1"/>
    <col min="10133" max="10133" width="20.44140625" style="3" customWidth="1"/>
    <col min="10134" max="10134" width="12.44140625" style="3" customWidth="1"/>
    <col min="10135" max="10135" width="13.109375" style="3" customWidth="1"/>
    <col min="10136" max="10148" width="11.44140625" style="3"/>
    <col min="10149" max="10149" width="16.109375" style="3" customWidth="1"/>
    <col min="10150" max="10150" width="16.44140625" style="3" customWidth="1"/>
    <col min="10151" max="10162" width="11.44140625" style="3"/>
    <col min="10163" max="10163" width="12.6640625" style="3" customWidth="1"/>
    <col min="10164" max="10164" width="12" style="3" customWidth="1"/>
    <col min="10165" max="10176" width="11.44140625" style="3"/>
    <col min="10177" max="10177" width="12.5546875" style="3" customWidth="1"/>
    <col min="10178" max="10178" width="14.6640625" style="3" customWidth="1"/>
    <col min="10179" max="10188" width="13.33203125" style="3" customWidth="1"/>
    <col min="10189" max="10189" width="16.33203125" style="3" customWidth="1"/>
    <col min="10190" max="10190" width="17" style="3" customWidth="1"/>
    <col min="10191" max="10191" width="15.44140625" style="3" customWidth="1"/>
    <col min="10192" max="10192" width="15.88671875" style="3" customWidth="1"/>
    <col min="10193" max="10193" width="13.33203125" style="3" bestFit="1" customWidth="1"/>
    <col min="10194" max="10204" width="11.44140625" style="3" customWidth="1"/>
    <col min="10205" max="10205" width="15.44140625" style="3" customWidth="1"/>
    <col min="10206" max="10206" width="15.88671875" style="3" customWidth="1"/>
    <col min="10207" max="10342" width="11.44140625" style="3"/>
    <col min="10343" max="10343" width="4.109375" style="3" customWidth="1"/>
    <col min="10344" max="10344" width="23.33203125" style="3" customWidth="1"/>
    <col min="10345" max="10345" width="13.44140625" style="3" customWidth="1"/>
    <col min="10346" max="10346" width="19" style="3" customWidth="1"/>
    <col min="10347" max="10347" width="10.5546875" style="3" customWidth="1"/>
    <col min="10348" max="10348" width="14.109375" style="3" bestFit="1" customWidth="1"/>
    <col min="10349" max="10349" width="16.88671875" style="3" customWidth="1"/>
    <col min="10350" max="10350" width="20.5546875" style="3" customWidth="1"/>
    <col min="10351" max="10351" width="5.109375" style="3" customWidth="1"/>
    <col min="10352" max="10352" width="5.6640625" style="3" customWidth="1"/>
    <col min="10353" max="10353" width="16.6640625" style="3" customWidth="1"/>
    <col min="10354" max="10354" width="22.109375" style="3" customWidth="1"/>
    <col min="10355" max="10355" width="34.33203125" style="3" customWidth="1"/>
    <col min="10356" max="10356" width="26.109375" style="3" customWidth="1"/>
    <col min="10357" max="10357" width="11" style="3" customWidth="1"/>
    <col min="10358" max="10358" width="24.5546875" style="3" customWidth="1"/>
    <col min="10359" max="10359" width="4.44140625" style="3" customWidth="1"/>
    <col min="10360" max="10367" width="10.6640625" style="3" customWidth="1"/>
    <col min="10368" max="10368" width="11.6640625" style="3" customWidth="1"/>
    <col min="10369" max="10369" width="10.6640625" style="3" customWidth="1"/>
    <col min="10370" max="10370" width="11.33203125" style="3" customWidth="1"/>
    <col min="10371" max="10371" width="10.6640625" style="3" customWidth="1"/>
    <col min="10372" max="10372" width="20.44140625" style="3" customWidth="1"/>
    <col min="10373" max="10373" width="11.33203125" style="3" customWidth="1"/>
    <col min="10374" max="10374" width="11" style="3" customWidth="1"/>
    <col min="10375" max="10376" width="12" style="3" customWidth="1"/>
    <col min="10377" max="10377" width="9.44140625" style="3" customWidth="1"/>
    <col min="10378" max="10378" width="10.6640625" style="3" customWidth="1"/>
    <col min="10379" max="10388" width="9" style="3" customWidth="1"/>
    <col min="10389" max="10389" width="20.44140625" style="3" customWidth="1"/>
    <col min="10390" max="10390" width="12.44140625" style="3" customWidth="1"/>
    <col min="10391" max="10391" width="13.109375" style="3" customWidth="1"/>
    <col min="10392" max="10404" width="11.44140625" style="3"/>
    <col min="10405" max="10405" width="16.109375" style="3" customWidth="1"/>
    <col min="10406" max="10406" width="16.44140625" style="3" customWidth="1"/>
    <col min="10407" max="10418" width="11.44140625" style="3"/>
    <col min="10419" max="10419" width="12.6640625" style="3" customWidth="1"/>
    <col min="10420" max="10420" width="12" style="3" customWidth="1"/>
    <col min="10421" max="10432" width="11.44140625" style="3"/>
    <col min="10433" max="10433" width="12.5546875" style="3" customWidth="1"/>
    <col min="10434" max="10434" width="14.6640625" style="3" customWidth="1"/>
    <col min="10435" max="10444" width="13.33203125" style="3" customWidth="1"/>
    <col min="10445" max="10445" width="16.33203125" style="3" customWidth="1"/>
    <col min="10446" max="10446" width="17" style="3" customWidth="1"/>
    <col min="10447" max="10447" width="15.44140625" style="3" customWidth="1"/>
    <col min="10448" max="10448" width="15.88671875" style="3" customWidth="1"/>
    <col min="10449" max="10449" width="13.33203125" style="3" bestFit="1" customWidth="1"/>
    <col min="10450" max="10460" width="11.44140625" style="3" customWidth="1"/>
    <col min="10461" max="10461" width="15.44140625" style="3" customWidth="1"/>
    <col min="10462" max="10462" width="15.88671875" style="3" customWidth="1"/>
    <col min="10463" max="10598" width="11.44140625" style="3"/>
    <col min="10599" max="10599" width="4.109375" style="3" customWidth="1"/>
    <col min="10600" max="10600" width="23.33203125" style="3" customWidth="1"/>
    <col min="10601" max="10601" width="13.44140625" style="3" customWidth="1"/>
    <col min="10602" max="10602" width="19" style="3" customWidth="1"/>
    <col min="10603" max="10603" width="10.5546875" style="3" customWidth="1"/>
    <col min="10604" max="10604" width="14.109375" style="3" bestFit="1" customWidth="1"/>
    <col min="10605" max="10605" width="16.88671875" style="3" customWidth="1"/>
    <col min="10606" max="10606" width="20.5546875" style="3" customWidth="1"/>
    <col min="10607" max="10607" width="5.109375" style="3" customWidth="1"/>
    <col min="10608" max="10608" width="5.6640625" style="3" customWidth="1"/>
    <col min="10609" max="10609" width="16.6640625" style="3" customWidth="1"/>
    <col min="10610" max="10610" width="22.109375" style="3" customWidth="1"/>
    <col min="10611" max="10611" width="34.33203125" style="3" customWidth="1"/>
    <col min="10612" max="10612" width="26.109375" style="3" customWidth="1"/>
    <col min="10613" max="10613" width="11" style="3" customWidth="1"/>
    <col min="10614" max="10614" width="24.5546875" style="3" customWidth="1"/>
    <col min="10615" max="10615" width="4.44140625" style="3" customWidth="1"/>
    <col min="10616" max="10623" width="10.6640625" style="3" customWidth="1"/>
    <col min="10624" max="10624" width="11.6640625" style="3" customWidth="1"/>
    <col min="10625" max="10625" width="10.6640625" style="3" customWidth="1"/>
    <col min="10626" max="10626" width="11.33203125" style="3" customWidth="1"/>
    <col min="10627" max="10627" width="10.6640625" style="3" customWidth="1"/>
    <col min="10628" max="10628" width="20.44140625" style="3" customWidth="1"/>
    <col min="10629" max="10629" width="11.33203125" style="3" customWidth="1"/>
    <col min="10630" max="10630" width="11" style="3" customWidth="1"/>
    <col min="10631" max="10632" width="12" style="3" customWidth="1"/>
    <col min="10633" max="10633" width="9.44140625" style="3" customWidth="1"/>
    <col min="10634" max="10634" width="10.6640625" style="3" customWidth="1"/>
    <col min="10635" max="10644" width="9" style="3" customWidth="1"/>
    <col min="10645" max="10645" width="20.44140625" style="3" customWidth="1"/>
    <col min="10646" max="10646" width="12.44140625" style="3" customWidth="1"/>
    <col min="10647" max="10647" width="13.109375" style="3" customWidth="1"/>
    <col min="10648" max="10660" width="11.44140625" style="3"/>
    <col min="10661" max="10661" width="16.109375" style="3" customWidth="1"/>
    <col min="10662" max="10662" width="16.44140625" style="3" customWidth="1"/>
    <col min="10663" max="10674" width="11.44140625" style="3"/>
    <col min="10675" max="10675" width="12.6640625" style="3" customWidth="1"/>
    <col min="10676" max="10676" width="12" style="3" customWidth="1"/>
    <col min="10677" max="10688" width="11.44140625" style="3"/>
    <col min="10689" max="10689" width="12.5546875" style="3" customWidth="1"/>
    <col min="10690" max="10690" width="14.6640625" style="3" customWidth="1"/>
    <col min="10691" max="10700" width="13.33203125" style="3" customWidth="1"/>
    <col min="10701" max="10701" width="16.33203125" style="3" customWidth="1"/>
    <col min="10702" max="10702" width="17" style="3" customWidth="1"/>
    <col min="10703" max="10703" width="15.44140625" style="3" customWidth="1"/>
    <col min="10704" max="10704" width="15.88671875" style="3" customWidth="1"/>
    <col min="10705" max="10705" width="13.33203125" style="3" bestFit="1" customWidth="1"/>
    <col min="10706" max="10716" width="11.44140625" style="3" customWidth="1"/>
    <col min="10717" max="10717" width="15.44140625" style="3" customWidth="1"/>
    <col min="10718" max="10718" width="15.88671875" style="3" customWidth="1"/>
    <col min="10719" max="10854" width="11.44140625" style="3"/>
    <col min="10855" max="10855" width="4.109375" style="3" customWidth="1"/>
    <col min="10856" max="10856" width="23.33203125" style="3" customWidth="1"/>
    <col min="10857" max="10857" width="13.44140625" style="3" customWidth="1"/>
    <col min="10858" max="10858" width="19" style="3" customWidth="1"/>
    <col min="10859" max="10859" width="10.5546875" style="3" customWidth="1"/>
    <col min="10860" max="10860" width="14.109375" style="3" bestFit="1" customWidth="1"/>
    <col min="10861" max="10861" width="16.88671875" style="3" customWidth="1"/>
    <col min="10862" max="10862" width="20.5546875" style="3" customWidth="1"/>
    <col min="10863" max="10863" width="5.109375" style="3" customWidth="1"/>
    <col min="10864" max="10864" width="5.6640625" style="3" customWidth="1"/>
    <col min="10865" max="10865" width="16.6640625" style="3" customWidth="1"/>
    <col min="10866" max="10866" width="22.109375" style="3" customWidth="1"/>
    <col min="10867" max="10867" width="34.33203125" style="3" customWidth="1"/>
    <col min="10868" max="10868" width="26.109375" style="3" customWidth="1"/>
    <col min="10869" max="10869" width="11" style="3" customWidth="1"/>
    <col min="10870" max="10870" width="24.5546875" style="3" customWidth="1"/>
    <col min="10871" max="10871" width="4.44140625" style="3" customWidth="1"/>
    <col min="10872" max="10879" width="10.6640625" style="3" customWidth="1"/>
    <col min="10880" max="10880" width="11.6640625" style="3" customWidth="1"/>
    <col min="10881" max="10881" width="10.6640625" style="3" customWidth="1"/>
    <col min="10882" max="10882" width="11.33203125" style="3" customWidth="1"/>
    <col min="10883" max="10883" width="10.6640625" style="3" customWidth="1"/>
    <col min="10884" max="10884" width="20.44140625" style="3" customWidth="1"/>
    <col min="10885" max="10885" width="11.33203125" style="3" customWidth="1"/>
    <col min="10886" max="10886" width="11" style="3" customWidth="1"/>
    <col min="10887" max="10888" width="12" style="3" customWidth="1"/>
    <col min="10889" max="10889" width="9.44140625" style="3" customWidth="1"/>
    <col min="10890" max="10890" width="10.6640625" style="3" customWidth="1"/>
    <col min="10891" max="10900" width="9" style="3" customWidth="1"/>
    <col min="10901" max="10901" width="20.44140625" style="3" customWidth="1"/>
    <col min="10902" max="10902" width="12.44140625" style="3" customWidth="1"/>
    <col min="10903" max="10903" width="13.109375" style="3" customWidth="1"/>
    <col min="10904" max="10916" width="11.44140625" style="3"/>
    <col min="10917" max="10917" width="16.109375" style="3" customWidth="1"/>
    <col min="10918" max="10918" width="16.44140625" style="3" customWidth="1"/>
    <col min="10919" max="10930" width="11.44140625" style="3"/>
    <col min="10931" max="10931" width="12.6640625" style="3" customWidth="1"/>
    <col min="10932" max="10932" width="12" style="3" customWidth="1"/>
    <col min="10933" max="10944" width="11.44140625" style="3"/>
    <col min="10945" max="10945" width="12.5546875" style="3" customWidth="1"/>
    <col min="10946" max="10946" width="14.6640625" style="3" customWidth="1"/>
    <col min="10947" max="10956" width="13.33203125" style="3" customWidth="1"/>
    <col min="10957" max="10957" width="16.33203125" style="3" customWidth="1"/>
    <col min="10958" max="10958" width="17" style="3" customWidth="1"/>
    <col min="10959" max="10959" width="15.44140625" style="3" customWidth="1"/>
    <col min="10960" max="10960" width="15.88671875" style="3" customWidth="1"/>
    <col min="10961" max="10961" width="13.33203125" style="3" bestFit="1" customWidth="1"/>
    <col min="10962" max="10972" width="11.44140625" style="3" customWidth="1"/>
    <col min="10973" max="10973" width="15.44140625" style="3" customWidth="1"/>
    <col min="10974" max="10974" width="15.88671875" style="3" customWidth="1"/>
    <col min="10975" max="11110" width="11.44140625" style="3"/>
    <col min="11111" max="11111" width="4.109375" style="3" customWidth="1"/>
    <col min="11112" max="11112" width="23.33203125" style="3" customWidth="1"/>
    <col min="11113" max="11113" width="13.44140625" style="3" customWidth="1"/>
    <col min="11114" max="11114" width="19" style="3" customWidth="1"/>
    <col min="11115" max="11115" width="10.5546875" style="3" customWidth="1"/>
    <col min="11116" max="11116" width="14.109375" style="3" bestFit="1" customWidth="1"/>
    <col min="11117" max="11117" width="16.88671875" style="3" customWidth="1"/>
    <col min="11118" max="11118" width="20.5546875" style="3" customWidth="1"/>
    <col min="11119" max="11119" width="5.109375" style="3" customWidth="1"/>
    <col min="11120" max="11120" width="5.6640625" style="3" customWidth="1"/>
    <col min="11121" max="11121" width="16.6640625" style="3" customWidth="1"/>
    <col min="11122" max="11122" width="22.109375" style="3" customWidth="1"/>
    <col min="11123" max="11123" width="34.33203125" style="3" customWidth="1"/>
    <col min="11124" max="11124" width="26.109375" style="3" customWidth="1"/>
    <col min="11125" max="11125" width="11" style="3" customWidth="1"/>
    <col min="11126" max="11126" width="24.5546875" style="3" customWidth="1"/>
    <col min="11127" max="11127" width="4.44140625" style="3" customWidth="1"/>
    <col min="11128" max="11135" width="10.6640625" style="3" customWidth="1"/>
    <col min="11136" max="11136" width="11.6640625" style="3" customWidth="1"/>
    <col min="11137" max="11137" width="10.6640625" style="3" customWidth="1"/>
    <col min="11138" max="11138" width="11.33203125" style="3" customWidth="1"/>
    <col min="11139" max="11139" width="10.6640625" style="3" customWidth="1"/>
    <col min="11140" max="11140" width="20.44140625" style="3" customWidth="1"/>
    <col min="11141" max="11141" width="11.33203125" style="3" customWidth="1"/>
    <col min="11142" max="11142" width="11" style="3" customWidth="1"/>
    <col min="11143" max="11144" width="12" style="3" customWidth="1"/>
    <col min="11145" max="11145" width="9.44140625" style="3" customWidth="1"/>
    <col min="11146" max="11146" width="10.6640625" style="3" customWidth="1"/>
    <col min="11147" max="11156" width="9" style="3" customWidth="1"/>
    <col min="11157" max="11157" width="20.44140625" style="3" customWidth="1"/>
    <col min="11158" max="11158" width="12.44140625" style="3" customWidth="1"/>
    <col min="11159" max="11159" width="13.109375" style="3" customWidth="1"/>
    <col min="11160" max="11172" width="11.44140625" style="3"/>
    <col min="11173" max="11173" width="16.109375" style="3" customWidth="1"/>
    <col min="11174" max="11174" width="16.44140625" style="3" customWidth="1"/>
    <col min="11175" max="11186" width="11.44140625" style="3"/>
    <col min="11187" max="11187" width="12.6640625" style="3" customWidth="1"/>
    <col min="11188" max="11188" width="12" style="3" customWidth="1"/>
    <col min="11189" max="11200" width="11.44140625" style="3"/>
    <col min="11201" max="11201" width="12.5546875" style="3" customWidth="1"/>
    <col min="11202" max="11202" width="14.6640625" style="3" customWidth="1"/>
    <col min="11203" max="11212" width="13.33203125" style="3" customWidth="1"/>
    <col min="11213" max="11213" width="16.33203125" style="3" customWidth="1"/>
    <col min="11214" max="11214" width="17" style="3" customWidth="1"/>
    <col min="11215" max="11215" width="15.44140625" style="3" customWidth="1"/>
    <col min="11216" max="11216" width="15.88671875" style="3" customWidth="1"/>
    <col min="11217" max="11217" width="13.33203125" style="3" bestFit="1" customWidth="1"/>
    <col min="11218" max="11228" width="11.44140625" style="3" customWidth="1"/>
    <col min="11229" max="11229" width="15.44140625" style="3" customWidth="1"/>
    <col min="11230" max="11230" width="15.88671875" style="3" customWidth="1"/>
    <col min="11231" max="11366" width="11.44140625" style="3"/>
    <col min="11367" max="11367" width="4.109375" style="3" customWidth="1"/>
    <col min="11368" max="11368" width="23.33203125" style="3" customWidth="1"/>
    <col min="11369" max="11369" width="13.44140625" style="3" customWidth="1"/>
    <col min="11370" max="11370" width="19" style="3" customWidth="1"/>
    <col min="11371" max="11371" width="10.5546875" style="3" customWidth="1"/>
    <col min="11372" max="11372" width="14.109375" style="3" bestFit="1" customWidth="1"/>
    <col min="11373" max="11373" width="16.88671875" style="3" customWidth="1"/>
    <col min="11374" max="11374" width="20.5546875" style="3" customWidth="1"/>
    <col min="11375" max="11375" width="5.109375" style="3" customWidth="1"/>
    <col min="11376" max="11376" width="5.6640625" style="3" customWidth="1"/>
    <col min="11377" max="11377" width="16.6640625" style="3" customWidth="1"/>
    <col min="11378" max="11378" width="22.109375" style="3" customWidth="1"/>
    <col min="11379" max="11379" width="34.33203125" style="3" customWidth="1"/>
    <col min="11380" max="11380" width="26.109375" style="3" customWidth="1"/>
    <col min="11381" max="11381" width="11" style="3" customWidth="1"/>
    <col min="11382" max="11382" width="24.5546875" style="3" customWidth="1"/>
    <col min="11383" max="11383" width="4.44140625" style="3" customWidth="1"/>
    <col min="11384" max="11391" width="10.6640625" style="3" customWidth="1"/>
    <col min="11392" max="11392" width="11.6640625" style="3" customWidth="1"/>
    <col min="11393" max="11393" width="10.6640625" style="3" customWidth="1"/>
    <col min="11394" max="11394" width="11.33203125" style="3" customWidth="1"/>
    <col min="11395" max="11395" width="10.6640625" style="3" customWidth="1"/>
    <col min="11396" max="11396" width="20.44140625" style="3" customWidth="1"/>
    <col min="11397" max="11397" width="11.33203125" style="3" customWidth="1"/>
    <col min="11398" max="11398" width="11" style="3" customWidth="1"/>
    <col min="11399" max="11400" width="12" style="3" customWidth="1"/>
    <col min="11401" max="11401" width="9.44140625" style="3" customWidth="1"/>
    <col min="11402" max="11402" width="10.6640625" style="3" customWidth="1"/>
    <col min="11403" max="11412" width="9" style="3" customWidth="1"/>
    <col min="11413" max="11413" width="20.44140625" style="3" customWidth="1"/>
    <col min="11414" max="11414" width="12.44140625" style="3" customWidth="1"/>
    <col min="11415" max="11415" width="13.109375" style="3" customWidth="1"/>
    <col min="11416" max="11428" width="11.44140625" style="3"/>
    <col min="11429" max="11429" width="16.109375" style="3" customWidth="1"/>
    <col min="11430" max="11430" width="16.44140625" style="3" customWidth="1"/>
    <col min="11431" max="11442" width="11.44140625" style="3"/>
    <col min="11443" max="11443" width="12.6640625" style="3" customWidth="1"/>
    <col min="11444" max="11444" width="12" style="3" customWidth="1"/>
    <col min="11445" max="11456" width="11.44140625" style="3"/>
    <col min="11457" max="11457" width="12.5546875" style="3" customWidth="1"/>
    <col min="11458" max="11458" width="14.6640625" style="3" customWidth="1"/>
    <col min="11459" max="11468" width="13.33203125" style="3" customWidth="1"/>
    <col min="11469" max="11469" width="16.33203125" style="3" customWidth="1"/>
    <col min="11470" max="11470" width="17" style="3" customWidth="1"/>
    <col min="11471" max="11471" width="15.44140625" style="3" customWidth="1"/>
    <col min="11472" max="11472" width="15.88671875" style="3" customWidth="1"/>
    <col min="11473" max="11473" width="13.33203125" style="3" bestFit="1" customWidth="1"/>
    <col min="11474" max="11484" width="11.44140625" style="3" customWidth="1"/>
    <col min="11485" max="11485" width="15.44140625" style="3" customWidth="1"/>
    <col min="11486" max="11486" width="15.88671875" style="3" customWidth="1"/>
    <col min="11487" max="11622" width="11.44140625" style="3"/>
    <col min="11623" max="11623" width="4.109375" style="3" customWidth="1"/>
    <col min="11624" max="11624" width="23.33203125" style="3" customWidth="1"/>
    <col min="11625" max="11625" width="13.44140625" style="3" customWidth="1"/>
    <col min="11626" max="11626" width="19" style="3" customWidth="1"/>
    <col min="11627" max="11627" width="10.5546875" style="3" customWidth="1"/>
    <col min="11628" max="11628" width="14.109375" style="3" bestFit="1" customWidth="1"/>
    <col min="11629" max="11629" width="16.88671875" style="3" customWidth="1"/>
    <col min="11630" max="11630" width="20.5546875" style="3" customWidth="1"/>
    <col min="11631" max="11631" width="5.109375" style="3" customWidth="1"/>
    <col min="11632" max="11632" width="5.6640625" style="3" customWidth="1"/>
    <col min="11633" max="11633" width="16.6640625" style="3" customWidth="1"/>
    <col min="11634" max="11634" width="22.109375" style="3" customWidth="1"/>
    <col min="11635" max="11635" width="34.33203125" style="3" customWidth="1"/>
    <col min="11636" max="11636" width="26.109375" style="3" customWidth="1"/>
    <col min="11637" max="11637" width="11" style="3" customWidth="1"/>
    <col min="11638" max="11638" width="24.5546875" style="3" customWidth="1"/>
    <col min="11639" max="11639" width="4.44140625" style="3" customWidth="1"/>
    <col min="11640" max="11647" width="10.6640625" style="3" customWidth="1"/>
    <col min="11648" max="11648" width="11.6640625" style="3" customWidth="1"/>
    <col min="11649" max="11649" width="10.6640625" style="3" customWidth="1"/>
    <col min="11650" max="11650" width="11.33203125" style="3" customWidth="1"/>
    <col min="11651" max="11651" width="10.6640625" style="3" customWidth="1"/>
    <col min="11652" max="11652" width="20.44140625" style="3" customWidth="1"/>
    <col min="11653" max="11653" width="11.33203125" style="3" customWidth="1"/>
    <col min="11654" max="11654" width="11" style="3" customWidth="1"/>
    <col min="11655" max="11656" width="12" style="3" customWidth="1"/>
    <col min="11657" max="11657" width="9.44140625" style="3" customWidth="1"/>
    <col min="11658" max="11658" width="10.6640625" style="3" customWidth="1"/>
    <col min="11659" max="11668" width="9" style="3" customWidth="1"/>
    <col min="11669" max="11669" width="20.44140625" style="3" customWidth="1"/>
    <col min="11670" max="11670" width="12.44140625" style="3" customWidth="1"/>
    <col min="11671" max="11671" width="13.109375" style="3" customWidth="1"/>
    <col min="11672" max="11684" width="11.44140625" style="3"/>
    <col min="11685" max="11685" width="16.109375" style="3" customWidth="1"/>
    <col min="11686" max="11686" width="16.44140625" style="3" customWidth="1"/>
    <col min="11687" max="11698" width="11.44140625" style="3"/>
    <col min="11699" max="11699" width="12.6640625" style="3" customWidth="1"/>
    <col min="11700" max="11700" width="12" style="3" customWidth="1"/>
    <col min="11701" max="11712" width="11.44140625" style="3"/>
    <col min="11713" max="11713" width="12.5546875" style="3" customWidth="1"/>
    <col min="11714" max="11714" width="14.6640625" style="3" customWidth="1"/>
    <col min="11715" max="11724" width="13.33203125" style="3" customWidth="1"/>
    <col min="11725" max="11725" width="16.33203125" style="3" customWidth="1"/>
    <col min="11726" max="11726" width="17" style="3" customWidth="1"/>
    <col min="11727" max="11727" width="15.44140625" style="3" customWidth="1"/>
    <col min="11728" max="11728" width="15.88671875" style="3" customWidth="1"/>
    <col min="11729" max="11729" width="13.33203125" style="3" bestFit="1" customWidth="1"/>
    <col min="11730" max="11740" width="11.44140625" style="3" customWidth="1"/>
    <col min="11741" max="11741" width="15.44140625" style="3" customWidth="1"/>
    <col min="11742" max="11742" width="15.88671875" style="3" customWidth="1"/>
    <col min="11743" max="11878" width="11.44140625" style="3"/>
    <col min="11879" max="11879" width="4.109375" style="3" customWidth="1"/>
    <col min="11880" max="11880" width="23.33203125" style="3" customWidth="1"/>
    <col min="11881" max="11881" width="13.44140625" style="3" customWidth="1"/>
    <col min="11882" max="11882" width="19" style="3" customWidth="1"/>
    <col min="11883" max="11883" width="10.5546875" style="3" customWidth="1"/>
    <col min="11884" max="11884" width="14.109375" style="3" bestFit="1" customWidth="1"/>
    <col min="11885" max="11885" width="16.88671875" style="3" customWidth="1"/>
    <col min="11886" max="11886" width="20.5546875" style="3" customWidth="1"/>
    <col min="11887" max="11887" width="5.109375" style="3" customWidth="1"/>
    <col min="11888" max="11888" width="5.6640625" style="3" customWidth="1"/>
    <col min="11889" max="11889" width="16.6640625" style="3" customWidth="1"/>
    <col min="11890" max="11890" width="22.109375" style="3" customWidth="1"/>
    <col min="11891" max="11891" width="34.33203125" style="3" customWidth="1"/>
    <col min="11892" max="11892" width="26.109375" style="3" customWidth="1"/>
    <col min="11893" max="11893" width="11" style="3" customWidth="1"/>
    <col min="11894" max="11894" width="24.5546875" style="3" customWidth="1"/>
    <col min="11895" max="11895" width="4.44140625" style="3" customWidth="1"/>
    <col min="11896" max="11903" width="10.6640625" style="3" customWidth="1"/>
    <col min="11904" max="11904" width="11.6640625" style="3" customWidth="1"/>
    <col min="11905" max="11905" width="10.6640625" style="3" customWidth="1"/>
    <col min="11906" max="11906" width="11.33203125" style="3" customWidth="1"/>
    <col min="11907" max="11907" width="10.6640625" style="3" customWidth="1"/>
    <col min="11908" max="11908" width="20.44140625" style="3" customWidth="1"/>
    <col min="11909" max="11909" width="11.33203125" style="3" customWidth="1"/>
    <col min="11910" max="11910" width="11" style="3" customWidth="1"/>
    <col min="11911" max="11912" width="12" style="3" customWidth="1"/>
    <col min="11913" max="11913" width="9.44140625" style="3" customWidth="1"/>
    <col min="11914" max="11914" width="10.6640625" style="3" customWidth="1"/>
    <col min="11915" max="11924" width="9" style="3" customWidth="1"/>
    <col min="11925" max="11925" width="20.44140625" style="3" customWidth="1"/>
    <col min="11926" max="11926" width="12.44140625" style="3" customWidth="1"/>
    <col min="11927" max="11927" width="13.109375" style="3" customWidth="1"/>
    <col min="11928" max="11940" width="11.44140625" style="3"/>
    <col min="11941" max="11941" width="16.109375" style="3" customWidth="1"/>
    <col min="11942" max="11942" width="16.44140625" style="3" customWidth="1"/>
    <col min="11943" max="11954" width="11.44140625" style="3"/>
    <col min="11955" max="11955" width="12.6640625" style="3" customWidth="1"/>
    <col min="11956" max="11956" width="12" style="3" customWidth="1"/>
    <col min="11957" max="11968" width="11.44140625" style="3"/>
    <col min="11969" max="11969" width="12.5546875" style="3" customWidth="1"/>
    <col min="11970" max="11970" width="14.6640625" style="3" customWidth="1"/>
    <col min="11971" max="11980" width="13.33203125" style="3" customWidth="1"/>
    <col min="11981" max="11981" width="16.33203125" style="3" customWidth="1"/>
    <col min="11982" max="11982" width="17" style="3" customWidth="1"/>
    <col min="11983" max="11983" width="15.44140625" style="3" customWidth="1"/>
    <col min="11984" max="11984" width="15.88671875" style="3" customWidth="1"/>
    <col min="11985" max="11985" width="13.33203125" style="3" bestFit="1" customWidth="1"/>
    <col min="11986" max="11996" width="11.44140625" style="3" customWidth="1"/>
    <col min="11997" max="11997" width="15.44140625" style="3" customWidth="1"/>
    <col min="11998" max="11998" width="15.88671875" style="3" customWidth="1"/>
    <col min="11999" max="12134" width="11.44140625" style="3"/>
    <col min="12135" max="12135" width="4.109375" style="3" customWidth="1"/>
    <col min="12136" max="12136" width="23.33203125" style="3" customWidth="1"/>
    <col min="12137" max="12137" width="13.44140625" style="3" customWidth="1"/>
    <col min="12138" max="12138" width="19" style="3" customWidth="1"/>
    <col min="12139" max="12139" width="10.5546875" style="3" customWidth="1"/>
    <col min="12140" max="12140" width="14.109375" style="3" bestFit="1" customWidth="1"/>
    <col min="12141" max="12141" width="16.88671875" style="3" customWidth="1"/>
    <col min="12142" max="12142" width="20.5546875" style="3" customWidth="1"/>
    <col min="12143" max="12143" width="5.109375" style="3" customWidth="1"/>
    <col min="12144" max="12144" width="5.6640625" style="3" customWidth="1"/>
    <col min="12145" max="12145" width="16.6640625" style="3" customWidth="1"/>
    <col min="12146" max="12146" width="22.109375" style="3" customWidth="1"/>
    <col min="12147" max="12147" width="34.33203125" style="3" customWidth="1"/>
    <col min="12148" max="12148" width="26.109375" style="3" customWidth="1"/>
    <col min="12149" max="12149" width="11" style="3" customWidth="1"/>
    <col min="12150" max="12150" width="24.5546875" style="3" customWidth="1"/>
    <col min="12151" max="12151" width="4.44140625" style="3" customWidth="1"/>
    <col min="12152" max="12159" width="10.6640625" style="3" customWidth="1"/>
    <col min="12160" max="12160" width="11.6640625" style="3" customWidth="1"/>
    <col min="12161" max="12161" width="10.6640625" style="3" customWidth="1"/>
    <col min="12162" max="12162" width="11.33203125" style="3" customWidth="1"/>
    <col min="12163" max="12163" width="10.6640625" style="3" customWidth="1"/>
    <col min="12164" max="12164" width="20.44140625" style="3" customWidth="1"/>
    <col min="12165" max="12165" width="11.33203125" style="3" customWidth="1"/>
    <col min="12166" max="12166" width="11" style="3" customWidth="1"/>
    <col min="12167" max="12168" width="12" style="3" customWidth="1"/>
    <col min="12169" max="12169" width="9.44140625" style="3" customWidth="1"/>
    <col min="12170" max="12170" width="10.6640625" style="3" customWidth="1"/>
    <col min="12171" max="12180" width="9" style="3" customWidth="1"/>
    <col min="12181" max="12181" width="20.44140625" style="3" customWidth="1"/>
    <col min="12182" max="12182" width="12.44140625" style="3" customWidth="1"/>
    <col min="12183" max="12183" width="13.109375" style="3" customWidth="1"/>
    <col min="12184" max="12196" width="11.44140625" style="3"/>
    <col min="12197" max="12197" width="16.109375" style="3" customWidth="1"/>
    <col min="12198" max="12198" width="16.44140625" style="3" customWidth="1"/>
    <col min="12199" max="12210" width="11.44140625" style="3"/>
    <col min="12211" max="12211" width="12.6640625" style="3" customWidth="1"/>
    <col min="12212" max="12212" width="12" style="3" customWidth="1"/>
    <col min="12213" max="12224" width="11.44140625" style="3"/>
    <col min="12225" max="12225" width="12.5546875" style="3" customWidth="1"/>
    <col min="12226" max="12226" width="14.6640625" style="3" customWidth="1"/>
    <col min="12227" max="12236" width="13.33203125" style="3" customWidth="1"/>
    <col min="12237" max="12237" width="16.33203125" style="3" customWidth="1"/>
    <col min="12238" max="12238" width="17" style="3" customWidth="1"/>
    <col min="12239" max="12239" width="15.44140625" style="3" customWidth="1"/>
    <col min="12240" max="12240" width="15.88671875" style="3" customWidth="1"/>
    <col min="12241" max="12241" width="13.33203125" style="3" bestFit="1" customWidth="1"/>
    <col min="12242" max="12252" width="11.44140625" style="3" customWidth="1"/>
    <col min="12253" max="12253" width="15.44140625" style="3" customWidth="1"/>
    <col min="12254" max="12254" width="15.88671875" style="3" customWidth="1"/>
    <col min="12255" max="12390" width="11.44140625" style="3"/>
    <col min="12391" max="12391" width="4.109375" style="3" customWidth="1"/>
    <col min="12392" max="12392" width="23.33203125" style="3" customWidth="1"/>
    <col min="12393" max="12393" width="13.44140625" style="3" customWidth="1"/>
    <col min="12394" max="12394" width="19" style="3" customWidth="1"/>
    <col min="12395" max="12395" width="10.5546875" style="3" customWidth="1"/>
    <col min="12396" max="12396" width="14.109375" style="3" bestFit="1" customWidth="1"/>
    <col min="12397" max="12397" width="16.88671875" style="3" customWidth="1"/>
    <col min="12398" max="12398" width="20.5546875" style="3" customWidth="1"/>
    <col min="12399" max="12399" width="5.109375" style="3" customWidth="1"/>
    <col min="12400" max="12400" width="5.6640625" style="3" customWidth="1"/>
    <col min="12401" max="12401" width="16.6640625" style="3" customWidth="1"/>
    <col min="12402" max="12402" width="22.109375" style="3" customWidth="1"/>
    <col min="12403" max="12403" width="34.33203125" style="3" customWidth="1"/>
    <col min="12404" max="12404" width="26.109375" style="3" customWidth="1"/>
    <col min="12405" max="12405" width="11" style="3" customWidth="1"/>
    <col min="12406" max="12406" width="24.5546875" style="3" customWidth="1"/>
    <col min="12407" max="12407" width="4.44140625" style="3" customWidth="1"/>
    <col min="12408" max="12415" width="10.6640625" style="3" customWidth="1"/>
    <col min="12416" max="12416" width="11.6640625" style="3" customWidth="1"/>
    <col min="12417" max="12417" width="10.6640625" style="3" customWidth="1"/>
    <col min="12418" max="12418" width="11.33203125" style="3" customWidth="1"/>
    <col min="12419" max="12419" width="10.6640625" style="3" customWidth="1"/>
    <col min="12420" max="12420" width="20.44140625" style="3" customWidth="1"/>
    <col min="12421" max="12421" width="11.33203125" style="3" customWidth="1"/>
    <col min="12422" max="12422" width="11" style="3" customWidth="1"/>
    <col min="12423" max="12424" width="12" style="3" customWidth="1"/>
    <col min="12425" max="12425" width="9.44140625" style="3" customWidth="1"/>
    <col min="12426" max="12426" width="10.6640625" style="3" customWidth="1"/>
    <col min="12427" max="12436" width="9" style="3" customWidth="1"/>
    <col min="12437" max="12437" width="20.44140625" style="3" customWidth="1"/>
    <col min="12438" max="12438" width="12.44140625" style="3" customWidth="1"/>
    <col min="12439" max="12439" width="13.109375" style="3" customWidth="1"/>
    <col min="12440" max="12452" width="11.44140625" style="3"/>
    <col min="12453" max="12453" width="16.109375" style="3" customWidth="1"/>
    <col min="12454" max="12454" width="16.44140625" style="3" customWidth="1"/>
    <col min="12455" max="12466" width="11.44140625" style="3"/>
    <col min="12467" max="12467" width="12.6640625" style="3" customWidth="1"/>
    <col min="12468" max="12468" width="12" style="3" customWidth="1"/>
    <col min="12469" max="12480" width="11.44140625" style="3"/>
    <col min="12481" max="12481" width="12.5546875" style="3" customWidth="1"/>
    <col min="12482" max="12482" width="14.6640625" style="3" customWidth="1"/>
    <col min="12483" max="12492" width="13.33203125" style="3" customWidth="1"/>
    <col min="12493" max="12493" width="16.33203125" style="3" customWidth="1"/>
    <col min="12494" max="12494" width="17" style="3" customWidth="1"/>
    <col min="12495" max="12495" width="15.44140625" style="3" customWidth="1"/>
    <col min="12496" max="12496" width="15.88671875" style="3" customWidth="1"/>
    <col min="12497" max="12497" width="13.33203125" style="3" bestFit="1" customWidth="1"/>
    <col min="12498" max="12508" width="11.44140625" style="3" customWidth="1"/>
    <col min="12509" max="12509" width="15.44140625" style="3" customWidth="1"/>
    <col min="12510" max="12510" width="15.88671875" style="3" customWidth="1"/>
    <col min="12511" max="12646" width="11.44140625" style="3"/>
    <col min="12647" max="12647" width="4.109375" style="3" customWidth="1"/>
    <col min="12648" max="12648" width="23.33203125" style="3" customWidth="1"/>
    <col min="12649" max="12649" width="13.44140625" style="3" customWidth="1"/>
    <col min="12650" max="12650" width="19" style="3" customWidth="1"/>
    <col min="12651" max="12651" width="10.5546875" style="3" customWidth="1"/>
    <col min="12652" max="12652" width="14.109375" style="3" bestFit="1" customWidth="1"/>
    <col min="12653" max="12653" width="16.88671875" style="3" customWidth="1"/>
    <col min="12654" max="12654" width="20.5546875" style="3" customWidth="1"/>
    <col min="12655" max="12655" width="5.109375" style="3" customWidth="1"/>
    <col min="12656" max="12656" width="5.6640625" style="3" customWidth="1"/>
    <col min="12657" max="12657" width="16.6640625" style="3" customWidth="1"/>
    <col min="12658" max="12658" width="22.109375" style="3" customWidth="1"/>
    <col min="12659" max="12659" width="34.33203125" style="3" customWidth="1"/>
    <col min="12660" max="12660" width="26.109375" style="3" customWidth="1"/>
    <col min="12661" max="12661" width="11" style="3" customWidth="1"/>
    <col min="12662" max="12662" width="24.5546875" style="3" customWidth="1"/>
    <col min="12663" max="12663" width="4.44140625" style="3" customWidth="1"/>
    <col min="12664" max="12671" width="10.6640625" style="3" customWidth="1"/>
    <col min="12672" max="12672" width="11.6640625" style="3" customWidth="1"/>
    <col min="12673" max="12673" width="10.6640625" style="3" customWidth="1"/>
    <col min="12674" max="12674" width="11.33203125" style="3" customWidth="1"/>
    <col min="12675" max="12675" width="10.6640625" style="3" customWidth="1"/>
    <col min="12676" max="12676" width="20.44140625" style="3" customWidth="1"/>
    <col min="12677" max="12677" width="11.33203125" style="3" customWidth="1"/>
    <col min="12678" max="12678" width="11" style="3" customWidth="1"/>
    <col min="12679" max="12680" width="12" style="3" customWidth="1"/>
    <col min="12681" max="12681" width="9.44140625" style="3" customWidth="1"/>
    <col min="12682" max="12682" width="10.6640625" style="3" customWidth="1"/>
    <col min="12683" max="12692" width="9" style="3" customWidth="1"/>
    <col min="12693" max="12693" width="20.44140625" style="3" customWidth="1"/>
    <col min="12694" max="12694" width="12.44140625" style="3" customWidth="1"/>
    <col min="12695" max="12695" width="13.109375" style="3" customWidth="1"/>
    <col min="12696" max="12708" width="11.44140625" style="3"/>
    <col min="12709" max="12709" width="16.109375" style="3" customWidth="1"/>
    <col min="12710" max="12710" width="16.44140625" style="3" customWidth="1"/>
    <col min="12711" max="12722" width="11.44140625" style="3"/>
    <col min="12723" max="12723" width="12.6640625" style="3" customWidth="1"/>
    <col min="12724" max="12724" width="12" style="3" customWidth="1"/>
    <col min="12725" max="12736" width="11.44140625" style="3"/>
    <col min="12737" max="12737" width="12.5546875" style="3" customWidth="1"/>
    <col min="12738" max="12738" width="14.6640625" style="3" customWidth="1"/>
    <col min="12739" max="12748" width="13.33203125" style="3" customWidth="1"/>
    <col min="12749" max="12749" width="16.33203125" style="3" customWidth="1"/>
    <col min="12750" max="12750" width="17" style="3" customWidth="1"/>
    <col min="12751" max="12751" width="15.44140625" style="3" customWidth="1"/>
    <col min="12752" max="12752" width="15.88671875" style="3" customWidth="1"/>
    <col min="12753" max="12753" width="13.33203125" style="3" bestFit="1" customWidth="1"/>
    <col min="12754" max="12764" width="11.44140625" style="3" customWidth="1"/>
    <col min="12765" max="12765" width="15.44140625" style="3" customWidth="1"/>
    <col min="12766" max="12766" width="15.88671875" style="3" customWidth="1"/>
    <col min="12767" max="12902" width="11.44140625" style="3"/>
    <col min="12903" max="12903" width="4.109375" style="3" customWidth="1"/>
    <col min="12904" max="12904" width="23.33203125" style="3" customWidth="1"/>
    <col min="12905" max="12905" width="13.44140625" style="3" customWidth="1"/>
    <col min="12906" max="12906" width="19" style="3" customWidth="1"/>
    <col min="12907" max="12907" width="10.5546875" style="3" customWidth="1"/>
    <col min="12908" max="12908" width="14.109375" style="3" bestFit="1" customWidth="1"/>
    <col min="12909" max="12909" width="16.88671875" style="3" customWidth="1"/>
    <col min="12910" max="12910" width="20.5546875" style="3" customWidth="1"/>
    <col min="12911" max="12911" width="5.109375" style="3" customWidth="1"/>
    <col min="12912" max="12912" width="5.6640625" style="3" customWidth="1"/>
    <col min="12913" max="12913" width="16.6640625" style="3" customWidth="1"/>
    <col min="12914" max="12914" width="22.109375" style="3" customWidth="1"/>
    <col min="12915" max="12915" width="34.33203125" style="3" customWidth="1"/>
    <col min="12916" max="12916" width="26.109375" style="3" customWidth="1"/>
    <col min="12917" max="12917" width="11" style="3" customWidth="1"/>
    <col min="12918" max="12918" width="24.5546875" style="3" customWidth="1"/>
    <col min="12919" max="12919" width="4.44140625" style="3" customWidth="1"/>
    <col min="12920" max="12927" width="10.6640625" style="3" customWidth="1"/>
    <col min="12928" max="12928" width="11.6640625" style="3" customWidth="1"/>
    <col min="12929" max="12929" width="10.6640625" style="3" customWidth="1"/>
    <col min="12930" max="12930" width="11.33203125" style="3" customWidth="1"/>
    <col min="12931" max="12931" width="10.6640625" style="3" customWidth="1"/>
    <col min="12932" max="12932" width="20.44140625" style="3" customWidth="1"/>
    <col min="12933" max="12933" width="11.33203125" style="3" customWidth="1"/>
    <col min="12934" max="12934" width="11" style="3" customWidth="1"/>
    <col min="12935" max="12936" width="12" style="3" customWidth="1"/>
    <col min="12937" max="12937" width="9.44140625" style="3" customWidth="1"/>
    <col min="12938" max="12938" width="10.6640625" style="3" customWidth="1"/>
    <col min="12939" max="12948" width="9" style="3" customWidth="1"/>
    <col min="12949" max="12949" width="20.44140625" style="3" customWidth="1"/>
    <col min="12950" max="12950" width="12.44140625" style="3" customWidth="1"/>
    <col min="12951" max="12951" width="13.109375" style="3" customWidth="1"/>
    <col min="12952" max="12964" width="11.44140625" style="3"/>
    <col min="12965" max="12965" width="16.109375" style="3" customWidth="1"/>
    <col min="12966" max="12966" width="16.44140625" style="3" customWidth="1"/>
    <col min="12967" max="12978" width="11.44140625" style="3"/>
    <col min="12979" max="12979" width="12.6640625" style="3" customWidth="1"/>
    <col min="12980" max="12980" width="12" style="3" customWidth="1"/>
    <col min="12981" max="12992" width="11.44140625" style="3"/>
    <col min="12993" max="12993" width="12.5546875" style="3" customWidth="1"/>
    <col min="12994" max="12994" width="14.6640625" style="3" customWidth="1"/>
    <col min="12995" max="13004" width="13.33203125" style="3" customWidth="1"/>
    <col min="13005" max="13005" width="16.33203125" style="3" customWidth="1"/>
    <col min="13006" max="13006" width="17" style="3" customWidth="1"/>
    <col min="13007" max="13007" width="15.44140625" style="3" customWidth="1"/>
    <col min="13008" max="13008" width="15.88671875" style="3" customWidth="1"/>
    <col min="13009" max="13009" width="13.33203125" style="3" bestFit="1" customWidth="1"/>
    <col min="13010" max="13020" width="11.44140625" style="3" customWidth="1"/>
    <col min="13021" max="13021" width="15.44140625" style="3" customWidth="1"/>
    <col min="13022" max="13022" width="15.88671875" style="3" customWidth="1"/>
    <col min="13023" max="13158" width="11.44140625" style="3"/>
    <col min="13159" max="13159" width="4.109375" style="3" customWidth="1"/>
    <col min="13160" max="13160" width="23.33203125" style="3" customWidth="1"/>
    <col min="13161" max="13161" width="13.44140625" style="3" customWidth="1"/>
    <col min="13162" max="13162" width="19" style="3" customWidth="1"/>
    <col min="13163" max="13163" width="10.5546875" style="3" customWidth="1"/>
    <col min="13164" max="13164" width="14.109375" style="3" bestFit="1" customWidth="1"/>
    <col min="13165" max="13165" width="16.88671875" style="3" customWidth="1"/>
    <col min="13166" max="13166" width="20.5546875" style="3" customWidth="1"/>
    <col min="13167" max="13167" width="5.109375" style="3" customWidth="1"/>
    <col min="13168" max="13168" width="5.6640625" style="3" customWidth="1"/>
    <col min="13169" max="13169" width="16.6640625" style="3" customWidth="1"/>
    <col min="13170" max="13170" width="22.109375" style="3" customWidth="1"/>
    <col min="13171" max="13171" width="34.33203125" style="3" customWidth="1"/>
    <col min="13172" max="13172" width="26.109375" style="3" customWidth="1"/>
    <col min="13173" max="13173" width="11" style="3" customWidth="1"/>
    <col min="13174" max="13174" width="24.5546875" style="3" customWidth="1"/>
    <col min="13175" max="13175" width="4.44140625" style="3" customWidth="1"/>
    <col min="13176" max="13183" width="10.6640625" style="3" customWidth="1"/>
    <col min="13184" max="13184" width="11.6640625" style="3" customWidth="1"/>
    <col min="13185" max="13185" width="10.6640625" style="3" customWidth="1"/>
    <col min="13186" max="13186" width="11.33203125" style="3" customWidth="1"/>
    <col min="13187" max="13187" width="10.6640625" style="3" customWidth="1"/>
    <col min="13188" max="13188" width="20.44140625" style="3" customWidth="1"/>
    <col min="13189" max="13189" width="11.33203125" style="3" customWidth="1"/>
    <col min="13190" max="13190" width="11" style="3" customWidth="1"/>
    <col min="13191" max="13192" width="12" style="3" customWidth="1"/>
    <col min="13193" max="13193" width="9.44140625" style="3" customWidth="1"/>
    <col min="13194" max="13194" width="10.6640625" style="3" customWidth="1"/>
    <col min="13195" max="13204" width="9" style="3" customWidth="1"/>
    <col min="13205" max="13205" width="20.44140625" style="3" customWidth="1"/>
    <col min="13206" max="13206" width="12.44140625" style="3" customWidth="1"/>
    <col min="13207" max="13207" width="13.109375" style="3" customWidth="1"/>
    <col min="13208" max="13220" width="11.44140625" style="3"/>
    <col min="13221" max="13221" width="16.109375" style="3" customWidth="1"/>
    <col min="13222" max="13222" width="16.44140625" style="3" customWidth="1"/>
    <col min="13223" max="13234" width="11.44140625" style="3"/>
    <col min="13235" max="13235" width="12.6640625" style="3" customWidth="1"/>
    <col min="13236" max="13236" width="12" style="3" customWidth="1"/>
    <col min="13237" max="13248" width="11.44140625" style="3"/>
    <col min="13249" max="13249" width="12.5546875" style="3" customWidth="1"/>
    <col min="13250" max="13250" width="14.6640625" style="3" customWidth="1"/>
    <col min="13251" max="13260" width="13.33203125" style="3" customWidth="1"/>
    <col min="13261" max="13261" width="16.33203125" style="3" customWidth="1"/>
    <col min="13262" max="13262" width="17" style="3" customWidth="1"/>
    <col min="13263" max="13263" width="15.44140625" style="3" customWidth="1"/>
    <col min="13264" max="13264" width="15.88671875" style="3" customWidth="1"/>
    <col min="13265" max="13265" width="13.33203125" style="3" bestFit="1" customWidth="1"/>
    <col min="13266" max="13276" width="11.44140625" style="3" customWidth="1"/>
    <col min="13277" max="13277" width="15.44140625" style="3" customWidth="1"/>
    <col min="13278" max="13278" width="15.88671875" style="3" customWidth="1"/>
    <col min="13279" max="13414" width="11.44140625" style="3"/>
    <col min="13415" max="13415" width="4.109375" style="3" customWidth="1"/>
    <col min="13416" max="13416" width="23.33203125" style="3" customWidth="1"/>
    <col min="13417" max="13417" width="13.44140625" style="3" customWidth="1"/>
    <col min="13418" max="13418" width="19" style="3" customWidth="1"/>
    <col min="13419" max="13419" width="10.5546875" style="3" customWidth="1"/>
    <col min="13420" max="13420" width="14.109375" style="3" bestFit="1" customWidth="1"/>
    <col min="13421" max="13421" width="16.88671875" style="3" customWidth="1"/>
    <col min="13422" max="13422" width="20.5546875" style="3" customWidth="1"/>
    <col min="13423" max="13423" width="5.109375" style="3" customWidth="1"/>
    <col min="13424" max="13424" width="5.6640625" style="3" customWidth="1"/>
    <col min="13425" max="13425" width="16.6640625" style="3" customWidth="1"/>
    <col min="13426" max="13426" width="22.109375" style="3" customWidth="1"/>
    <col min="13427" max="13427" width="34.33203125" style="3" customWidth="1"/>
    <col min="13428" max="13428" width="26.109375" style="3" customWidth="1"/>
    <col min="13429" max="13429" width="11" style="3" customWidth="1"/>
    <col min="13430" max="13430" width="24.5546875" style="3" customWidth="1"/>
    <col min="13431" max="13431" width="4.44140625" style="3" customWidth="1"/>
    <col min="13432" max="13439" width="10.6640625" style="3" customWidth="1"/>
    <col min="13440" max="13440" width="11.6640625" style="3" customWidth="1"/>
    <col min="13441" max="13441" width="10.6640625" style="3" customWidth="1"/>
    <col min="13442" max="13442" width="11.33203125" style="3" customWidth="1"/>
    <col min="13443" max="13443" width="10.6640625" style="3" customWidth="1"/>
    <col min="13444" max="13444" width="20.44140625" style="3" customWidth="1"/>
    <col min="13445" max="13445" width="11.33203125" style="3" customWidth="1"/>
    <col min="13446" max="13446" width="11" style="3" customWidth="1"/>
    <col min="13447" max="13448" width="12" style="3" customWidth="1"/>
    <col min="13449" max="13449" width="9.44140625" style="3" customWidth="1"/>
    <col min="13450" max="13450" width="10.6640625" style="3" customWidth="1"/>
    <col min="13451" max="13460" width="9" style="3" customWidth="1"/>
    <col min="13461" max="13461" width="20.44140625" style="3" customWidth="1"/>
    <col min="13462" max="13462" width="12.44140625" style="3" customWidth="1"/>
    <col min="13463" max="13463" width="13.109375" style="3" customWidth="1"/>
    <col min="13464" max="13476" width="11.44140625" style="3"/>
    <col min="13477" max="13477" width="16.109375" style="3" customWidth="1"/>
    <col min="13478" max="13478" width="16.44140625" style="3" customWidth="1"/>
    <col min="13479" max="13490" width="11.44140625" style="3"/>
    <col min="13491" max="13491" width="12.6640625" style="3" customWidth="1"/>
    <col min="13492" max="13492" width="12" style="3" customWidth="1"/>
    <col min="13493" max="13504" width="11.44140625" style="3"/>
    <col min="13505" max="13505" width="12.5546875" style="3" customWidth="1"/>
    <col min="13506" max="13506" width="14.6640625" style="3" customWidth="1"/>
    <col min="13507" max="13516" width="13.33203125" style="3" customWidth="1"/>
    <col min="13517" max="13517" width="16.33203125" style="3" customWidth="1"/>
    <col min="13518" max="13518" width="17" style="3" customWidth="1"/>
    <col min="13519" max="13519" width="15.44140625" style="3" customWidth="1"/>
    <col min="13520" max="13520" width="15.88671875" style="3" customWidth="1"/>
    <col min="13521" max="13521" width="13.33203125" style="3" bestFit="1" customWidth="1"/>
    <col min="13522" max="13532" width="11.44140625" style="3" customWidth="1"/>
    <col min="13533" max="13533" width="15.44140625" style="3" customWidth="1"/>
    <col min="13534" max="13534" width="15.88671875" style="3" customWidth="1"/>
    <col min="13535" max="13670" width="11.44140625" style="3"/>
    <col min="13671" max="13671" width="4.109375" style="3" customWidth="1"/>
    <col min="13672" max="13672" width="23.33203125" style="3" customWidth="1"/>
    <col min="13673" max="13673" width="13.44140625" style="3" customWidth="1"/>
    <col min="13674" max="13674" width="19" style="3" customWidth="1"/>
    <col min="13675" max="13675" width="10.5546875" style="3" customWidth="1"/>
    <col min="13676" max="13676" width="14.109375" style="3" bestFit="1" customWidth="1"/>
    <col min="13677" max="13677" width="16.88671875" style="3" customWidth="1"/>
    <col min="13678" max="13678" width="20.5546875" style="3" customWidth="1"/>
    <col min="13679" max="13679" width="5.109375" style="3" customWidth="1"/>
    <col min="13680" max="13680" width="5.6640625" style="3" customWidth="1"/>
    <col min="13681" max="13681" width="16.6640625" style="3" customWidth="1"/>
    <col min="13682" max="13682" width="22.109375" style="3" customWidth="1"/>
    <col min="13683" max="13683" width="34.33203125" style="3" customWidth="1"/>
    <col min="13684" max="13684" width="26.109375" style="3" customWidth="1"/>
    <col min="13685" max="13685" width="11" style="3" customWidth="1"/>
    <col min="13686" max="13686" width="24.5546875" style="3" customWidth="1"/>
    <col min="13687" max="13687" width="4.44140625" style="3" customWidth="1"/>
    <col min="13688" max="13695" width="10.6640625" style="3" customWidth="1"/>
    <col min="13696" max="13696" width="11.6640625" style="3" customWidth="1"/>
    <col min="13697" max="13697" width="10.6640625" style="3" customWidth="1"/>
    <col min="13698" max="13698" width="11.33203125" style="3" customWidth="1"/>
    <col min="13699" max="13699" width="10.6640625" style="3" customWidth="1"/>
    <col min="13700" max="13700" width="20.44140625" style="3" customWidth="1"/>
    <col min="13701" max="13701" width="11.33203125" style="3" customWidth="1"/>
    <col min="13702" max="13702" width="11" style="3" customWidth="1"/>
    <col min="13703" max="13704" width="12" style="3" customWidth="1"/>
    <col min="13705" max="13705" width="9.44140625" style="3" customWidth="1"/>
    <col min="13706" max="13706" width="10.6640625" style="3" customWidth="1"/>
    <col min="13707" max="13716" width="9" style="3" customWidth="1"/>
    <col min="13717" max="13717" width="20.44140625" style="3" customWidth="1"/>
    <col min="13718" max="13718" width="12.44140625" style="3" customWidth="1"/>
    <col min="13719" max="13719" width="13.109375" style="3" customWidth="1"/>
    <col min="13720" max="13732" width="11.44140625" style="3"/>
    <col min="13733" max="13733" width="16.109375" style="3" customWidth="1"/>
    <col min="13734" max="13734" width="16.44140625" style="3" customWidth="1"/>
    <col min="13735" max="13746" width="11.44140625" style="3"/>
    <col min="13747" max="13747" width="12.6640625" style="3" customWidth="1"/>
    <col min="13748" max="13748" width="12" style="3" customWidth="1"/>
    <col min="13749" max="13760" width="11.44140625" style="3"/>
    <col min="13761" max="13761" width="12.5546875" style="3" customWidth="1"/>
    <col min="13762" max="13762" width="14.6640625" style="3" customWidth="1"/>
    <col min="13763" max="13772" width="13.33203125" style="3" customWidth="1"/>
    <col min="13773" max="13773" width="16.33203125" style="3" customWidth="1"/>
    <col min="13774" max="13774" width="17" style="3" customWidth="1"/>
    <col min="13775" max="13775" width="15.44140625" style="3" customWidth="1"/>
    <col min="13776" max="13776" width="15.88671875" style="3" customWidth="1"/>
    <col min="13777" max="13777" width="13.33203125" style="3" bestFit="1" customWidth="1"/>
    <col min="13778" max="13788" width="11.44140625" style="3" customWidth="1"/>
    <col min="13789" max="13789" width="15.44140625" style="3" customWidth="1"/>
    <col min="13790" max="13790" width="15.88671875" style="3" customWidth="1"/>
    <col min="13791" max="13926" width="11.44140625" style="3"/>
    <col min="13927" max="13927" width="4.109375" style="3" customWidth="1"/>
    <col min="13928" max="13928" width="23.33203125" style="3" customWidth="1"/>
    <col min="13929" max="13929" width="13.44140625" style="3" customWidth="1"/>
    <col min="13930" max="13930" width="19" style="3" customWidth="1"/>
    <col min="13931" max="13931" width="10.5546875" style="3" customWidth="1"/>
    <col min="13932" max="13932" width="14.109375" style="3" bestFit="1" customWidth="1"/>
    <col min="13933" max="13933" width="16.88671875" style="3" customWidth="1"/>
    <col min="13934" max="13934" width="20.5546875" style="3" customWidth="1"/>
    <col min="13935" max="13935" width="5.109375" style="3" customWidth="1"/>
    <col min="13936" max="13936" width="5.6640625" style="3" customWidth="1"/>
    <col min="13937" max="13937" width="16.6640625" style="3" customWidth="1"/>
    <col min="13938" max="13938" width="22.109375" style="3" customWidth="1"/>
    <col min="13939" max="13939" width="34.33203125" style="3" customWidth="1"/>
    <col min="13940" max="13940" width="26.109375" style="3" customWidth="1"/>
    <col min="13941" max="13941" width="11" style="3" customWidth="1"/>
    <col min="13942" max="13942" width="24.5546875" style="3" customWidth="1"/>
    <col min="13943" max="13943" width="4.44140625" style="3" customWidth="1"/>
    <col min="13944" max="13951" width="10.6640625" style="3" customWidth="1"/>
    <col min="13952" max="13952" width="11.6640625" style="3" customWidth="1"/>
    <col min="13953" max="13953" width="10.6640625" style="3" customWidth="1"/>
    <col min="13954" max="13954" width="11.33203125" style="3" customWidth="1"/>
    <col min="13955" max="13955" width="10.6640625" style="3" customWidth="1"/>
    <col min="13956" max="13956" width="20.44140625" style="3" customWidth="1"/>
    <col min="13957" max="13957" width="11.33203125" style="3" customWidth="1"/>
    <col min="13958" max="13958" width="11" style="3" customWidth="1"/>
    <col min="13959" max="13960" width="12" style="3" customWidth="1"/>
    <col min="13961" max="13961" width="9.44140625" style="3" customWidth="1"/>
    <col min="13962" max="13962" width="10.6640625" style="3" customWidth="1"/>
    <col min="13963" max="13972" width="9" style="3" customWidth="1"/>
    <col min="13973" max="13973" width="20.44140625" style="3" customWidth="1"/>
    <col min="13974" max="13974" width="12.44140625" style="3" customWidth="1"/>
    <col min="13975" max="13975" width="13.109375" style="3" customWidth="1"/>
    <col min="13976" max="13988" width="11.44140625" style="3"/>
    <col min="13989" max="13989" width="16.109375" style="3" customWidth="1"/>
    <col min="13990" max="13990" width="16.44140625" style="3" customWidth="1"/>
    <col min="13991" max="14002" width="11.44140625" style="3"/>
    <col min="14003" max="14003" width="12.6640625" style="3" customWidth="1"/>
    <col min="14004" max="14004" width="12" style="3" customWidth="1"/>
    <col min="14005" max="14016" width="11.44140625" style="3"/>
    <col min="14017" max="14017" width="12.5546875" style="3" customWidth="1"/>
    <col min="14018" max="14018" width="14.6640625" style="3" customWidth="1"/>
    <col min="14019" max="14028" width="13.33203125" style="3" customWidth="1"/>
    <col min="14029" max="14029" width="16.33203125" style="3" customWidth="1"/>
    <col min="14030" max="14030" width="17" style="3" customWidth="1"/>
    <col min="14031" max="14031" width="15.44140625" style="3" customWidth="1"/>
    <col min="14032" max="14032" width="15.88671875" style="3" customWidth="1"/>
    <col min="14033" max="14033" width="13.33203125" style="3" bestFit="1" customWidth="1"/>
    <col min="14034" max="14044" width="11.44140625" style="3" customWidth="1"/>
    <col min="14045" max="14045" width="15.44140625" style="3" customWidth="1"/>
    <col min="14046" max="14046" width="15.88671875" style="3" customWidth="1"/>
    <col min="14047" max="14182" width="11.44140625" style="3"/>
    <col min="14183" max="14183" width="4.109375" style="3" customWidth="1"/>
    <col min="14184" max="14184" width="23.33203125" style="3" customWidth="1"/>
    <col min="14185" max="14185" width="13.44140625" style="3" customWidth="1"/>
    <col min="14186" max="14186" width="19" style="3" customWidth="1"/>
    <col min="14187" max="14187" width="10.5546875" style="3" customWidth="1"/>
    <col min="14188" max="14188" width="14.109375" style="3" bestFit="1" customWidth="1"/>
    <col min="14189" max="14189" width="16.88671875" style="3" customWidth="1"/>
    <col min="14190" max="14190" width="20.5546875" style="3" customWidth="1"/>
    <col min="14191" max="14191" width="5.109375" style="3" customWidth="1"/>
    <col min="14192" max="14192" width="5.6640625" style="3" customWidth="1"/>
    <col min="14193" max="14193" width="16.6640625" style="3" customWidth="1"/>
    <col min="14194" max="14194" width="22.109375" style="3" customWidth="1"/>
    <col min="14195" max="14195" width="34.33203125" style="3" customWidth="1"/>
    <col min="14196" max="14196" width="26.109375" style="3" customWidth="1"/>
    <col min="14197" max="14197" width="11" style="3" customWidth="1"/>
    <col min="14198" max="14198" width="24.5546875" style="3" customWidth="1"/>
    <col min="14199" max="14199" width="4.44140625" style="3" customWidth="1"/>
    <col min="14200" max="14207" width="10.6640625" style="3" customWidth="1"/>
    <col min="14208" max="14208" width="11.6640625" style="3" customWidth="1"/>
    <col min="14209" max="14209" width="10.6640625" style="3" customWidth="1"/>
    <col min="14210" max="14210" width="11.33203125" style="3" customWidth="1"/>
    <col min="14211" max="14211" width="10.6640625" style="3" customWidth="1"/>
    <col min="14212" max="14212" width="20.44140625" style="3" customWidth="1"/>
    <col min="14213" max="14213" width="11.33203125" style="3" customWidth="1"/>
    <col min="14214" max="14214" width="11" style="3" customWidth="1"/>
    <col min="14215" max="14216" width="12" style="3" customWidth="1"/>
    <col min="14217" max="14217" width="9.44140625" style="3" customWidth="1"/>
    <col min="14218" max="14218" width="10.6640625" style="3" customWidth="1"/>
    <col min="14219" max="14228" width="9" style="3" customWidth="1"/>
    <col min="14229" max="14229" width="20.44140625" style="3" customWidth="1"/>
    <col min="14230" max="14230" width="12.44140625" style="3" customWidth="1"/>
    <col min="14231" max="14231" width="13.109375" style="3" customWidth="1"/>
    <col min="14232" max="14244" width="11.44140625" style="3"/>
    <col min="14245" max="14245" width="16.109375" style="3" customWidth="1"/>
    <col min="14246" max="14246" width="16.44140625" style="3" customWidth="1"/>
    <col min="14247" max="14258" width="11.44140625" style="3"/>
    <col min="14259" max="14259" width="12.6640625" style="3" customWidth="1"/>
    <col min="14260" max="14260" width="12" style="3" customWidth="1"/>
    <col min="14261" max="14272" width="11.44140625" style="3"/>
    <col min="14273" max="14273" width="12.5546875" style="3" customWidth="1"/>
    <col min="14274" max="14274" width="14.6640625" style="3" customWidth="1"/>
    <col min="14275" max="14284" width="13.33203125" style="3" customWidth="1"/>
    <col min="14285" max="14285" width="16.33203125" style="3" customWidth="1"/>
    <col min="14286" max="14286" width="17" style="3" customWidth="1"/>
    <col min="14287" max="14287" width="15.44140625" style="3" customWidth="1"/>
    <col min="14288" max="14288" width="15.88671875" style="3" customWidth="1"/>
    <col min="14289" max="14289" width="13.33203125" style="3" bestFit="1" customWidth="1"/>
    <col min="14290" max="14300" width="11.44140625" style="3" customWidth="1"/>
    <col min="14301" max="14301" width="15.44140625" style="3" customWidth="1"/>
    <col min="14302" max="14302" width="15.88671875" style="3" customWidth="1"/>
    <col min="14303" max="14438" width="11.44140625" style="3"/>
    <col min="14439" max="14439" width="4.109375" style="3" customWidth="1"/>
    <col min="14440" max="14440" width="23.33203125" style="3" customWidth="1"/>
    <col min="14441" max="14441" width="13.44140625" style="3" customWidth="1"/>
    <col min="14442" max="14442" width="19" style="3" customWidth="1"/>
    <col min="14443" max="14443" width="10.5546875" style="3" customWidth="1"/>
    <col min="14444" max="14444" width="14.109375" style="3" bestFit="1" customWidth="1"/>
    <col min="14445" max="14445" width="16.88671875" style="3" customWidth="1"/>
    <col min="14446" max="14446" width="20.5546875" style="3" customWidth="1"/>
    <col min="14447" max="14447" width="5.109375" style="3" customWidth="1"/>
    <col min="14448" max="14448" width="5.6640625" style="3" customWidth="1"/>
    <col min="14449" max="14449" width="16.6640625" style="3" customWidth="1"/>
    <col min="14450" max="14450" width="22.109375" style="3" customWidth="1"/>
    <col min="14451" max="14451" width="34.33203125" style="3" customWidth="1"/>
    <col min="14452" max="14452" width="26.109375" style="3" customWidth="1"/>
    <col min="14453" max="14453" width="11" style="3" customWidth="1"/>
    <col min="14454" max="14454" width="24.5546875" style="3" customWidth="1"/>
    <col min="14455" max="14455" width="4.44140625" style="3" customWidth="1"/>
    <col min="14456" max="14463" width="10.6640625" style="3" customWidth="1"/>
    <col min="14464" max="14464" width="11.6640625" style="3" customWidth="1"/>
    <col min="14465" max="14465" width="10.6640625" style="3" customWidth="1"/>
    <col min="14466" max="14466" width="11.33203125" style="3" customWidth="1"/>
    <col min="14467" max="14467" width="10.6640625" style="3" customWidth="1"/>
    <col min="14468" max="14468" width="20.44140625" style="3" customWidth="1"/>
    <col min="14469" max="14469" width="11.33203125" style="3" customWidth="1"/>
    <col min="14470" max="14470" width="11" style="3" customWidth="1"/>
    <col min="14471" max="14472" width="12" style="3" customWidth="1"/>
    <col min="14473" max="14473" width="9.44140625" style="3" customWidth="1"/>
    <col min="14474" max="14474" width="10.6640625" style="3" customWidth="1"/>
    <col min="14475" max="14484" width="9" style="3" customWidth="1"/>
    <col min="14485" max="14485" width="20.44140625" style="3" customWidth="1"/>
    <col min="14486" max="14486" width="12.44140625" style="3" customWidth="1"/>
    <col min="14487" max="14487" width="13.109375" style="3" customWidth="1"/>
    <col min="14488" max="14500" width="11.44140625" style="3"/>
    <col min="14501" max="14501" width="16.109375" style="3" customWidth="1"/>
    <col min="14502" max="14502" width="16.44140625" style="3" customWidth="1"/>
    <col min="14503" max="14514" width="11.44140625" style="3"/>
    <col min="14515" max="14515" width="12.6640625" style="3" customWidth="1"/>
    <col min="14516" max="14516" width="12" style="3" customWidth="1"/>
    <col min="14517" max="14528" width="11.44140625" style="3"/>
    <col min="14529" max="14529" width="12.5546875" style="3" customWidth="1"/>
    <col min="14530" max="14530" width="14.6640625" style="3" customWidth="1"/>
    <col min="14531" max="14540" width="13.33203125" style="3" customWidth="1"/>
    <col min="14541" max="14541" width="16.33203125" style="3" customWidth="1"/>
    <col min="14542" max="14542" width="17" style="3" customWidth="1"/>
    <col min="14543" max="14543" width="15.44140625" style="3" customWidth="1"/>
    <col min="14544" max="14544" width="15.88671875" style="3" customWidth="1"/>
    <col min="14545" max="14545" width="13.33203125" style="3" bestFit="1" customWidth="1"/>
    <col min="14546" max="14556" width="11.44140625" style="3" customWidth="1"/>
    <col min="14557" max="14557" width="15.44140625" style="3" customWidth="1"/>
    <col min="14558" max="14558" width="15.88671875" style="3" customWidth="1"/>
    <col min="14559" max="14694" width="11.44140625" style="3"/>
    <col min="14695" max="14695" width="4.109375" style="3" customWidth="1"/>
    <col min="14696" max="14696" width="23.33203125" style="3" customWidth="1"/>
    <col min="14697" max="14697" width="13.44140625" style="3" customWidth="1"/>
    <col min="14698" max="14698" width="19" style="3" customWidth="1"/>
    <col min="14699" max="14699" width="10.5546875" style="3" customWidth="1"/>
    <col min="14700" max="14700" width="14.109375" style="3" bestFit="1" customWidth="1"/>
    <col min="14701" max="14701" width="16.88671875" style="3" customWidth="1"/>
    <col min="14702" max="14702" width="20.5546875" style="3" customWidth="1"/>
    <col min="14703" max="14703" width="5.109375" style="3" customWidth="1"/>
    <col min="14704" max="14704" width="5.6640625" style="3" customWidth="1"/>
    <col min="14705" max="14705" width="16.6640625" style="3" customWidth="1"/>
    <col min="14706" max="14706" width="22.109375" style="3" customWidth="1"/>
    <col min="14707" max="14707" width="34.33203125" style="3" customWidth="1"/>
    <col min="14708" max="14708" width="26.109375" style="3" customWidth="1"/>
    <col min="14709" max="14709" width="11" style="3" customWidth="1"/>
    <col min="14710" max="14710" width="24.5546875" style="3" customWidth="1"/>
    <col min="14711" max="14711" width="4.44140625" style="3" customWidth="1"/>
    <col min="14712" max="14719" width="10.6640625" style="3" customWidth="1"/>
    <col min="14720" max="14720" width="11.6640625" style="3" customWidth="1"/>
    <col min="14721" max="14721" width="10.6640625" style="3" customWidth="1"/>
    <col min="14722" max="14722" width="11.33203125" style="3" customWidth="1"/>
    <col min="14723" max="14723" width="10.6640625" style="3" customWidth="1"/>
    <col min="14724" max="14724" width="20.44140625" style="3" customWidth="1"/>
    <col min="14725" max="14725" width="11.33203125" style="3" customWidth="1"/>
    <col min="14726" max="14726" width="11" style="3" customWidth="1"/>
    <col min="14727" max="14728" width="12" style="3" customWidth="1"/>
    <col min="14729" max="14729" width="9.44140625" style="3" customWidth="1"/>
    <col min="14730" max="14730" width="10.6640625" style="3" customWidth="1"/>
    <col min="14731" max="14740" width="9" style="3" customWidth="1"/>
    <col min="14741" max="14741" width="20.44140625" style="3" customWidth="1"/>
    <col min="14742" max="14742" width="12.44140625" style="3" customWidth="1"/>
    <col min="14743" max="14743" width="13.109375" style="3" customWidth="1"/>
    <col min="14744" max="14756" width="11.44140625" style="3"/>
    <col min="14757" max="14757" width="16.109375" style="3" customWidth="1"/>
    <col min="14758" max="14758" width="16.44140625" style="3" customWidth="1"/>
    <col min="14759" max="14770" width="11.44140625" style="3"/>
    <col min="14771" max="14771" width="12.6640625" style="3" customWidth="1"/>
    <col min="14772" max="14772" width="12" style="3" customWidth="1"/>
    <col min="14773" max="14784" width="11.44140625" style="3"/>
    <col min="14785" max="14785" width="12.5546875" style="3" customWidth="1"/>
    <col min="14786" max="14786" width="14.6640625" style="3" customWidth="1"/>
    <col min="14787" max="14796" width="13.33203125" style="3" customWidth="1"/>
    <col min="14797" max="14797" width="16.33203125" style="3" customWidth="1"/>
    <col min="14798" max="14798" width="17" style="3" customWidth="1"/>
    <col min="14799" max="14799" width="15.44140625" style="3" customWidth="1"/>
    <col min="14800" max="14800" width="15.88671875" style="3" customWidth="1"/>
    <col min="14801" max="14801" width="13.33203125" style="3" bestFit="1" customWidth="1"/>
    <col min="14802" max="14812" width="11.44140625" style="3" customWidth="1"/>
    <col min="14813" max="14813" width="15.44140625" style="3" customWidth="1"/>
    <col min="14814" max="14814" width="15.88671875" style="3" customWidth="1"/>
    <col min="14815" max="14950" width="11.44140625" style="3"/>
    <col min="14951" max="14951" width="4.109375" style="3" customWidth="1"/>
    <col min="14952" max="14952" width="23.33203125" style="3" customWidth="1"/>
    <col min="14953" max="14953" width="13.44140625" style="3" customWidth="1"/>
    <col min="14954" max="14954" width="19" style="3" customWidth="1"/>
    <col min="14955" max="14955" width="10.5546875" style="3" customWidth="1"/>
    <col min="14956" max="14956" width="14.109375" style="3" bestFit="1" customWidth="1"/>
    <col min="14957" max="14957" width="16.88671875" style="3" customWidth="1"/>
    <col min="14958" max="14958" width="20.5546875" style="3" customWidth="1"/>
    <col min="14959" max="14959" width="5.109375" style="3" customWidth="1"/>
    <col min="14960" max="14960" width="5.6640625" style="3" customWidth="1"/>
    <col min="14961" max="14961" width="16.6640625" style="3" customWidth="1"/>
    <col min="14962" max="14962" width="22.109375" style="3" customWidth="1"/>
    <col min="14963" max="14963" width="34.33203125" style="3" customWidth="1"/>
    <col min="14964" max="14964" width="26.109375" style="3" customWidth="1"/>
    <col min="14965" max="14965" width="11" style="3" customWidth="1"/>
    <col min="14966" max="14966" width="24.5546875" style="3" customWidth="1"/>
    <col min="14967" max="14967" width="4.44140625" style="3" customWidth="1"/>
    <col min="14968" max="14975" width="10.6640625" style="3" customWidth="1"/>
    <col min="14976" max="14976" width="11.6640625" style="3" customWidth="1"/>
    <col min="14977" max="14977" width="10.6640625" style="3" customWidth="1"/>
    <col min="14978" max="14978" width="11.33203125" style="3" customWidth="1"/>
    <col min="14979" max="14979" width="10.6640625" style="3" customWidth="1"/>
    <col min="14980" max="14980" width="20.44140625" style="3" customWidth="1"/>
    <col min="14981" max="14981" width="11.33203125" style="3" customWidth="1"/>
    <col min="14982" max="14982" width="11" style="3" customWidth="1"/>
    <col min="14983" max="14984" width="12" style="3" customWidth="1"/>
    <col min="14985" max="14985" width="9.44140625" style="3" customWidth="1"/>
    <col min="14986" max="14986" width="10.6640625" style="3" customWidth="1"/>
    <col min="14987" max="14996" width="9" style="3" customWidth="1"/>
    <col min="14997" max="14997" width="20.44140625" style="3" customWidth="1"/>
    <col min="14998" max="14998" width="12.44140625" style="3" customWidth="1"/>
    <col min="14999" max="14999" width="13.109375" style="3" customWidth="1"/>
    <col min="15000" max="15012" width="11.44140625" style="3"/>
    <col min="15013" max="15013" width="16.109375" style="3" customWidth="1"/>
    <col min="15014" max="15014" width="16.44140625" style="3" customWidth="1"/>
    <col min="15015" max="15026" width="11.44140625" style="3"/>
    <col min="15027" max="15027" width="12.6640625" style="3" customWidth="1"/>
    <col min="15028" max="15028" width="12" style="3" customWidth="1"/>
    <col min="15029" max="15040" width="11.44140625" style="3"/>
    <col min="15041" max="15041" width="12.5546875" style="3" customWidth="1"/>
    <col min="15042" max="15042" width="14.6640625" style="3" customWidth="1"/>
    <col min="15043" max="15052" width="13.33203125" style="3" customWidth="1"/>
    <col min="15053" max="15053" width="16.33203125" style="3" customWidth="1"/>
    <col min="15054" max="15054" width="17" style="3" customWidth="1"/>
    <col min="15055" max="15055" width="15.44140625" style="3" customWidth="1"/>
    <col min="15056" max="15056" width="15.88671875" style="3" customWidth="1"/>
    <col min="15057" max="15057" width="13.33203125" style="3" bestFit="1" customWidth="1"/>
    <col min="15058" max="15068" width="11.44140625" style="3" customWidth="1"/>
    <col min="15069" max="15069" width="15.44140625" style="3" customWidth="1"/>
    <col min="15070" max="15070" width="15.88671875" style="3" customWidth="1"/>
    <col min="15071" max="15206" width="11.44140625" style="3"/>
    <col min="15207" max="15207" width="4.109375" style="3" customWidth="1"/>
    <col min="15208" max="15208" width="23.33203125" style="3" customWidth="1"/>
    <col min="15209" max="15209" width="13.44140625" style="3" customWidth="1"/>
    <col min="15210" max="15210" width="19" style="3" customWidth="1"/>
    <col min="15211" max="15211" width="10.5546875" style="3" customWidth="1"/>
    <col min="15212" max="15212" width="14.109375" style="3" bestFit="1" customWidth="1"/>
    <col min="15213" max="15213" width="16.88671875" style="3" customWidth="1"/>
    <col min="15214" max="15214" width="20.5546875" style="3" customWidth="1"/>
    <col min="15215" max="15215" width="5.109375" style="3" customWidth="1"/>
    <col min="15216" max="15216" width="5.6640625" style="3" customWidth="1"/>
    <col min="15217" max="15217" width="16.6640625" style="3" customWidth="1"/>
    <col min="15218" max="15218" width="22.109375" style="3" customWidth="1"/>
    <col min="15219" max="15219" width="34.33203125" style="3" customWidth="1"/>
    <col min="15220" max="15220" width="26.109375" style="3" customWidth="1"/>
    <col min="15221" max="15221" width="11" style="3" customWidth="1"/>
    <col min="15222" max="15222" width="24.5546875" style="3" customWidth="1"/>
    <col min="15223" max="15223" width="4.44140625" style="3" customWidth="1"/>
    <col min="15224" max="15231" width="10.6640625" style="3" customWidth="1"/>
    <col min="15232" max="15232" width="11.6640625" style="3" customWidth="1"/>
    <col min="15233" max="15233" width="10.6640625" style="3" customWidth="1"/>
    <col min="15234" max="15234" width="11.33203125" style="3" customWidth="1"/>
    <col min="15235" max="15235" width="10.6640625" style="3" customWidth="1"/>
    <col min="15236" max="15236" width="20.44140625" style="3" customWidth="1"/>
    <col min="15237" max="15237" width="11.33203125" style="3" customWidth="1"/>
    <col min="15238" max="15238" width="11" style="3" customWidth="1"/>
    <col min="15239" max="15240" width="12" style="3" customWidth="1"/>
    <col min="15241" max="15241" width="9.44140625" style="3" customWidth="1"/>
    <col min="15242" max="15242" width="10.6640625" style="3" customWidth="1"/>
    <col min="15243" max="15252" width="9" style="3" customWidth="1"/>
    <col min="15253" max="15253" width="20.44140625" style="3" customWidth="1"/>
    <col min="15254" max="15254" width="12.44140625" style="3" customWidth="1"/>
    <col min="15255" max="15255" width="13.109375" style="3" customWidth="1"/>
    <col min="15256" max="15268" width="11.44140625" style="3"/>
    <col min="15269" max="15269" width="16.109375" style="3" customWidth="1"/>
    <col min="15270" max="15270" width="16.44140625" style="3" customWidth="1"/>
    <col min="15271" max="15282" width="11.44140625" style="3"/>
    <col min="15283" max="15283" width="12.6640625" style="3" customWidth="1"/>
    <col min="15284" max="15284" width="12" style="3" customWidth="1"/>
    <col min="15285" max="15296" width="11.44140625" style="3"/>
    <col min="15297" max="15297" width="12.5546875" style="3" customWidth="1"/>
    <col min="15298" max="15298" width="14.6640625" style="3" customWidth="1"/>
    <col min="15299" max="15308" width="13.33203125" style="3" customWidth="1"/>
    <col min="15309" max="15309" width="16.33203125" style="3" customWidth="1"/>
    <col min="15310" max="15310" width="17" style="3" customWidth="1"/>
    <col min="15311" max="15311" width="15.44140625" style="3" customWidth="1"/>
    <col min="15312" max="15312" width="15.88671875" style="3" customWidth="1"/>
    <col min="15313" max="15313" width="13.33203125" style="3" bestFit="1" customWidth="1"/>
    <col min="15314" max="15324" width="11.44140625" style="3" customWidth="1"/>
    <col min="15325" max="15325" width="15.44140625" style="3" customWidth="1"/>
    <col min="15326" max="15326" width="15.88671875" style="3" customWidth="1"/>
    <col min="15327" max="15462" width="11.44140625" style="3"/>
    <col min="15463" max="15463" width="4.109375" style="3" customWidth="1"/>
    <col min="15464" max="15464" width="23.33203125" style="3" customWidth="1"/>
    <col min="15465" max="15465" width="13.44140625" style="3" customWidth="1"/>
    <col min="15466" max="15466" width="19" style="3" customWidth="1"/>
    <col min="15467" max="15467" width="10.5546875" style="3" customWidth="1"/>
    <col min="15468" max="15468" width="14.109375" style="3" bestFit="1" customWidth="1"/>
    <col min="15469" max="15469" width="16.88671875" style="3" customWidth="1"/>
    <col min="15470" max="15470" width="20.5546875" style="3" customWidth="1"/>
    <col min="15471" max="15471" width="5.109375" style="3" customWidth="1"/>
    <col min="15472" max="15472" width="5.6640625" style="3" customWidth="1"/>
    <col min="15473" max="15473" width="16.6640625" style="3" customWidth="1"/>
    <col min="15474" max="15474" width="22.109375" style="3" customWidth="1"/>
    <col min="15475" max="15475" width="34.33203125" style="3" customWidth="1"/>
    <col min="15476" max="15476" width="26.109375" style="3" customWidth="1"/>
    <col min="15477" max="15477" width="11" style="3" customWidth="1"/>
    <col min="15478" max="15478" width="24.5546875" style="3" customWidth="1"/>
    <col min="15479" max="15479" width="4.44140625" style="3" customWidth="1"/>
    <col min="15480" max="15487" width="10.6640625" style="3" customWidth="1"/>
    <col min="15488" max="15488" width="11.6640625" style="3" customWidth="1"/>
    <col min="15489" max="15489" width="10.6640625" style="3" customWidth="1"/>
    <col min="15490" max="15490" width="11.33203125" style="3" customWidth="1"/>
    <col min="15491" max="15491" width="10.6640625" style="3" customWidth="1"/>
    <col min="15492" max="15492" width="20.44140625" style="3" customWidth="1"/>
    <col min="15493" max="15493" width="11.33203125" style="3" customWidth="1"/>
    <col min="15494" max="15494" width="11" style="3" customWidth="1"/>
    <col min="15495" max="15496" width="12" style="3" customWidth="1"/>
    <col min="15497" max="15497" width="9.44140625" style="3" customWidth="1"/>
    <col min="15498" max="15498" width="10.6640625" style="3" customWidth="1"/>
    <col min="15499" max="15508" width="9" style="3" customWidth="1"/>
    <col min="15509" max="15509" width="20.44140625" style="3" customWidth="1"/>
    <col min="15510" max="15510" width="12.44140625" style="3" customWidth="1"/>
    <col min="15511" max="15511" width="13.109375" style="3" customWidth="1"/>
    <col min="15512" max="15524" width="11.44140625" style="3"/>
    <col min="15525" max="15525" width="16.109375" style="3" customWidth="1"/>
    <col min="15526" max="15526" width="16.44140625" style="3" customWidth="1"/>
    <col min="15527" max="15538" width="11.44140625" style="3"/>
    <col min="15539" max="15539" width="12.6640625" style="3" customWidth="1"/>
    <col min="15540" max="15540" width="12" style="3" customWidth="1"/>
    <col min="15541" max="15552" width="11.44140625" style="3"/>
    <col min="15553" max="15553" width="12.5546875" style="3" customWidth="1"/>
    <col min="15554" max="15554" width="14.6640625" style="3" customWidth="1"/>
    <col min="15555" max="15564" width="13.33203125" style="3" customWidth="1"/>
    <col min="15565" max="15565" width="16.33203125" style="3" customWidth="1"/>
    <col min="15566" max="15566" width="17" style="3" customWidth="1"/>
    <col min="15567" max="15567" width="15.44140625" style="3" customWidth="1"/>
    <col min="15568" max="15568" width="15.88671875" style="3" customWidth="1"/>
    <col min="15569" max="15569" width="13.33203125" style="3" bestFit="1" customWidth="1"/>
    <col min="15570" max="15580" width="11.44140625" style="3" customWidth="1"/>
    <col min="15581" max="15581" width="15.44140625" style="3" customWidth="1"/>
    <col min="15582" max="15582" width="15.88671875" style="3" customWidth="1"/>
    <col min="15583" max="15718" width="11.44140625" style="3"/>
    <col min="15719" max="15719" width="4.109375" style="3" customWidth="1"/>
    <col min="15720" max="15720" width="23.33203125" style="3" customWidth="1"/>
    <col min="15721" max="15721" width="13.44140625" style="3" customWidth="1"/>
    <col min="15722" max="15722" width="19" style="3" customWidth="1"/>
    <col min="15723" max="15723" width="10.5546875" style="3" customWidth="1"/>
    <col min="15724" max="15724" width="14.109375" style="3" bestFit="1" customWidth="1"/>
    <col min="15725" max="15725" width="16.88671875" style="3" customWidth="1"/>
    <col min="15726" max="15726" width="20.5546875" style="3" customWidth="1"/>
    <col min="15727" max="15727" width="5.109375" style="3" customWidth="1"/>
    <col min="15728" max="15728" width="5.6640625" style="3" customWidth="1"/>
    <col min="15729" max="15729" width="16.6640625" style="3" customWidth="1"/>
    <col min="15730" max="15730" width="22.109375" style="3" customWidth="1"/>
    <col min="15731" max="15731" width="34.33203125" style="3" customWidth="1"/>
    <col min="15732" max="15732" width="26.109375" style="3" customWidth="1"/>
    <col min="15733" max="15733" width="11" style="3" customWidth="1"/>
    <col min="15734" max="15734" width="24.5546875" style="3" customWidth="1"/>
    <col min="15735" max="15735" width="4.44140625" style="3" customWidth="1"/>
    <col min="15736" max="15743" width="10.6640625" style="3" customWidth="1"/>
    <col min="15744" max="15744" width="11.6640625" style="3" customWidth="1"/>
    <col min="15745" max="15745" width="10.6640625" style="3" customWidth="1"/>
    <col min="15746" max="15746" width="11.33203125" style="3" customWidth="1"/>
    <col min="15747" max="15747" width="10.6640625" style="3" customWidth="1"/>
    <col min="15748" max="15748" width="20.44140625" style="3" customWidth="1"/>
    <col min="15749" max="15749" width="11.33203125" style="3" customWidth="1"/>
    <col min="15750" max="15750" width="11" style="3" customWidth="1"/>
    <col min="15751" max="15752" width="12" style="3" customWidth="1"/>
    <col min="15753" max="15753" width="9.44140625" style="3" customWidth="1"/>
    <col min="15754" max="15754" width="10.6640625" style="3" customWidth="1"/>
    <col min="15755" max="15764" width="9" style="3" customWidth="1"/>
    <col min="15765" max="15765" width="20.44140625" style="3" customWidth="1"/>
    <col min="15766" max="15766" width="12.44140625" style="3" customWidth="1"/>
    <col min="15767" max="15767" width="13.109375" style="3" customWidth="1"/>
    <col min="15768" max="15780" width="11.44140625" style="3"/>
    <col min="15781" max="15781" width="16.109375" style="3" customWidth="1"/>
    <col min="15782" max="15782" width="16.44140625" style="3" customWidth="1"/>
    <col min="15783" max="15794" width="11.44140625" style="3"/>
    <col min="15795" max="15795" width="12.6640625" style="3" customWidth="1"/>
    <col min="15796" max="15796" width="12" style="3" customWidth="1"/>
    <col min="15797" max="15808" width="11.44140625" style="3"/>
    <col min="15809" max="15809" width="12.5546875" style="3" customWidth="1"/>
    <col min="15810" max="15810" width="14.6640625" style="3" customWidth="1"/>
    <col min="15811" max="15820" width="13.33203125" style="3" customWidth="1"/>
    <col min="15821" max="15821" width="16.33203125" style="3" customWidth="1"/>
    <col min="15822" max="15822" width="17" style="3" customWidth="1"/>
    <col min="15823" max="15823" width="15.44140625" style="3" customWidth="1"/>
    <col min="15824" max="15824" width="15.88671875" style="3" customWidth="1"/>
    <col min="15825" max="15825" width="13.33203125" style="3" bestFit="1" customWidth="1"/>
    <col min="15826" max="15836" width="11.44140625" style="3" customWidth="1"/>
    <col min="15837" max="15837" width="15.44140625" style="3" customWidth="1"/>
    <col min="15838" max="15838" width="15.88671875" style="3" customWidth="1"/>
    <col min="15839" max="15974" width="11.44140625" style="3"/>
    <col min="15975" max="15975" width="4.109375" style="3" customWidth="1"/>
    <col min="15976" max="15976" width="23.33203125" style="3" customWidth="1"/>
    <col min="15977" max="15977" width="13.44140625" style="3" customWidth="1"/>
    <col min="15978" max="15978" width="19" style="3" customWidth="1"/>
    <col min="15979" max="15979" width="10.5546875" style="3" customWidth="1"/>
    <col min="15980" max="15980" width="14.109375" style="3" bestFit="1" customWidth="1"/>
    <col min="15981" max="15981" width="16.88671875" style="3" customWidth="1"/>
    <col min="15982" max="15982" width="20.5546875" style="3" customWidth="1"/>
    <col min="15983" max="15983" width="5.109375" style="3" customWidth="1"/>
    <col min="15984" max="15984" width="5.6640625" style="3" customWidth="1"/>
    <col min="15985" max="15985" width="16.6640625" style="3" customWidth="1"/>
    <col min="15986" max="15986" width="22.109375" style="3" customWidth="1"/>
    <col min="15987" max="15987" width="34.33203125" style="3" customWidth="1"/>
    <col min="15988" max="15988" width="26.109375" style="3" customWidth="1"/>
    <col min="15989" max="15989" width="11" style="3" customWidth="1"/>
    <col min="15990" max="15990" width="24.5546875" style="3" customWidth="1"/>
    <col min="15991" max="15991" width="4.44140625" style="3" customWidth="1"/>
    <col min="15992" max="15999" width="10.6640625" style="3" customWidth="1"/>
    <col min="16000" max="16000" width="11.6640625" style="3" customWidth="1"/>
    <col min="16001" max="16001" width="10.6640625" style="3" customWidth="1"/>
    <col min="16002" max="16002" width="11.33203125" style="3" customWidth="1"/>
    <col min="16003" max="16003" width="10.6640625" style="3" customWidth="1"/>
    <col min="16004" max="16004" width="20.44140625" style="3" customWidth="1"/>
    <col min="16005" max="16005" width="11.33203125" style="3" customWidth="1"/>
    <col min="16006" max="16006" width="11" style="3" customWidth="1"/>
    <col min="16007" max="16008" width="12" style="3" customWidth="1"/>
    <col min="16009" max="16009" width="9.44140625" style="3" customWidth="1"/>
    <col min="16010" max="16010" width="10.6640625" style="3" customWidth="1"/>
    <col min="16011" max="16020" width="9" style="3" customWidth="1"/>
    <col min="16021" max="16021" width="20.44140625" style="3" customWidth="1"/>
    <col min="16022" max="16022" width="12.44140625" style="3" customWidth="1"/>
    <col min="16023" max="16023" width="13.109375" style="3" customWidth="1"/>
    <col min="16024" max="16036" width="11.44140625" style="3"/>
    <col min="16037" max="16037" width="16.109375" style="3" customWidth="1"/>
    <col min="16038" max="16038" width="16.44140625" style="3" customWidth="1"/>
    <col min="16039" max="16050" width="11.44140625" style="3"/>
    <col min="16051" max="16051" width="12.6640625" style="3" customWidth="1"/>
    <col min="16052" max="16052" width="12" style="3" customWidth="1"/>
    <col min="16053" max="16064" width="11.44140625" style="3"/>
    <col min="16065" max="16065" width="12.5546875" style="3" customWidth="1"/>
    <col min="16066" max="16066" width="14.6640625" style="3" customWidth="1"/>
    <col min="16067" max="16076" width="13.33203125" style="3" customWidth="1"/>
    <col min="16077" max="16077" width="16.33203125" style="3" customWidth="1"/>
    <col min="16078" max="16078" width="17" style="3" customWidth="1"/>
    <col min="16079" max="16079" width="15.44140625" style="3" customWidth="1"/>
    <col min="16080" max="16080" width="15.88671875" style="3" customWidth="1"/>
    <col min="16081" max="16081" width="13.33203125" style="3" bestFit="1" customWidth="1"/>
    <col min="16082" max="16092" width="11.44140625" style="3" customWidth="1"/>
    <col min="16093" max="16093" width="15.44140625" style="3" customWidth="1"/>
    <col min="16094" max="16094" width="15.88671875" style="3" customWidth="1"/>
    <col min="16095" max="16238" width="11.44140625" style="3"/>
    <col min="16239" max="16384" width="11.44140625" style="3" customWidth="1"/>
  </cols>
  <sheetData>
    <row r="1" spans="1:71" ht="18" x14ac:dyDescent="0.35">
      <c r="B1" s="245" t="s">
        <v>84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"/>
      <c r="AG1" s="3">
        <f>50*36308</f>
        <v>1815400</v>
      </c>
    </row>
    <row r="2" spans="1:71" ht="17.399999999999999" x14ac:dyDescent="0.35">
      <c r="B2" s="246" t="s">
        <v>253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4"/>
    </row>
    <row r="3" spans="1:71" x14ac:dyDescent="0.3">
      <c r="A3" s="1">
        <v>1524</v>
      </c>
      <c r="B3" s="5" t="s">
        <v>15</v>
      </c>
    </row>
    <row r="4" spans="1:71" ht="14.4" thickBot="1" x14ac:dyDescent="0.35"/>
    <row r="5" spans="1:71" ht="13.5" customHeight="1" thickBot="1" x14ac:dyDescent="0.35">
      <c r="B5" s="250" t="s">
        <v>11</v>
      </c>
      <c r="C5" s="252" t="s">
        <v>0</v>
      </c>
      <c r="D5" s="118"/>
      <c r="E5" s="238" t="s">
        <v>1</v>
      </c>
      <c r="F5" s="240" t="s">
        <v>2</v>
      </c>
      <c r="G5" s="234" t="s">
        <v>3</v>
      </c>
      <c r="H5" s="234" t="s">
        <v>4</v>
      </c>
      <c r="I5" s="242" t="s">
        <v>5</v>
      </c>
      <c r="J5" s="240" t="s">
        <v>6</v>
      </c>
      <c r="K5" s="241" t="s">
        <v>7</v>
      </c>
      <c r="L5" s="232" t="s">
        <v>8</v>
      </c>
      <c r="M5" s="234" t="s">
        <v>9</v>
      </c>
      <c r="O5" s="229" t="s">
        <v>181</v>
      </c>
      <c r="P5" s="229">
        <v>43831</v>
      </c>
      <c r="Q5" s="229">
        <v>43862</v>
      </c>
      <c r="R5" s="229">
        <v>43891</v>
      </c>
      <c r="S5" s="229">
        <v>43922</v>
      </c>
      <c r="T5" s="229">
        <v>43952</v>
      </c>
      <c r="U5" s="229">
        <v>43983</v>
      </c>
      <c r="V5" s="229">
        <v>44013</v>
      </c>
      <c r="W5" s="229">
        <v>44044</v>
      </c>
      <c r="X5" s="229">
        <v>44075</v>
      </c>
      <c r="Y5" s="229">
        <v>44105</v>
      </c>
      <c r="Z5" s="229">
        <v>44136</v>
      </c>
      <c r="AA5" s="229">
        <v>44166</v>
      </c>
      <c r="AB5" s="229" t="s">
        <v>183</v>
      </c>
      <c r="AC5" s="229">
        <v>44197</v>
      </c>
      <c r="AD5" s="229">
        <v>44228</v>
      </c>
      <c r="AE5" s="229">
        <v>44256</v>
      </c>
      <c r="AF5" s="229">
        <v>44287</v>
      </c>
      <c r="AG5" s="229">
        <v>44317</v>
      </c>
      <c r="AH5" s="229">
        <v>44348</v>
      </c>
      <c r="AI5" s="229">
        <v>44378</v>
      </c>
      <c r="AJ5" s="229">
        <v>44409</v>
      </c>
      <c r="AK5" s="229">
        <v>44440</v>
      </c>
      <c r="AL5" s="229">
        <v>44470</v>
      </c>
      <c r="AM5" s="229">
        <v>44501</v>
      </c>
      <c r="AN5" s="229">
        <v>44531</v>
      </c>
      <c r="AO5" s="229" t="s">
        <v>184</v>
      </c>
      <c r="AP5" s="229">
        <v>44562</v>
      </c>
      <c r="AQ5" s="229">
        <v>44593</v>
      </c>
      <c r="AR5" s="229">
        <v>44621</v>
      </c>
      <c r="AS5" s="229">
        <v>44652</v>
      </c>
      <c r="AT5" s="229">
        <v>44682</v>
      </c>
      <c r="AU5" s="229">
        <v>44713</v>
      </c>
      <c r="AV5" s="229">
        <v>44743</v>
      </c>
      <c r="AW5" s="229">
        <v>44774</v>
      </c>
      <c r="AX5" s="229">
        <v>44805</v>
      </c>
      <c r="AY5" s="229">
        <v>44835</v>
      </c>
      <c r="AZ5" s="229">
        <v>44866</v>
      </c>
      <c r="BA5" s="229">
        <v>44896</v>
      </c>
      <c r="BB5" s="229" t="s">
        <v>185</v>
      </c>
      <c r="BC5" s="229">
        <v>44927</v>
      </c>
      <c r="BD5" s="229">
        <v>44958</v>
      </c>
      <c r="BE5" s="229">
        <v>44986</v>
      </c>
      <c r="BF5" s="229">
        <v>45017</v>
      </c>
      <c r="BG5" s="229">
        <v>45047</v>
      </c>
      <c r="BH5" s="229">
        <v>45078</v>
      </c>
      <c r="BI5" s="229">
        <v>45108</v>
      </c>
      <c r="BJ5" s="229">
        <v>45139</v>
      </c>
      <c r="BK5" s="229">
        <v>45170</v>
      </c>
      <c r="BL5" s="229">
        <v>45200</v>
      </c>
      <c r="BM5" s="229">
        <v>45231</v>
      </c>
      <c r="BN5" s="229">
        <v>45261</v>
      </c>
      <c r="BO5" s="229" t="s">
        <v>254</v>
      </c>
      <c r="BP5" s="229" t="s">
        <v>13</v>
      </c>
      <c r="BQ5" s="229" t="s">
        <v>182</v>
      </c>
    </row>
    <row r="6" spans="1:71" x14ac:dyDescent="0.3">
      <c r="B6" s="255"/>
      <c r="C6" s="256"/>
      <c r="D6" s="156" t="s">
        <v>16</v>
      </c>
      <c r="E6" s="239"/>
      <c r="F6" s="241"/>
      <c r="G6" s="235"/>
      <c r="H6" s="235"/>
      <c r="I6" s="257"/>
      <c r="J6" s="241"/>
      <c r="K6" s="244"/>
      <c r="L6" s="233"/>
      <c r="M6" s="235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</row>
    <row r="7" spans="1:71" s="206" customFormat="1" ht="12" x14ac:dyDescent="0.25">
      <c r="B7" s="207" t="s">
        <v>17</v>
      </c>
      <c r="C7" s="208">
        <v>43715</v>
      </c>
      <c r="D7" s="209" t="s">
        <v>126</v>
      </c>
      <c r="E7" s="210"/>
      <c r="F7" s="211">
        <v>6500000</v>
      </c>
      <c r="G7" s="211">
        <v>0</v>
      </c>
      <c r="H7" s="212">
        <f>F7/10/12*3</f>
        <v>162500</v>
      </c>
      <c r="I7" s="213">
        <v>0.1</v>
      </c>
      <c r="J7" s="211">
        <v>10</v>
      </c>
      <c r="K7" s="211">
        <f>F7+G7</f>
        <v>6500000</v>
      </c>
      <c r="L7" s="211" t="s">
        <v>82</v>
      </c>
      <c r="M7" s="211" t="s">
        <v>83</v>
      </c>
      <c r="N7" s="214"/>
      <c r="O7" s="215">
        <f>+H7</f>
        <v>162500</v>
      </c>
      <c r="P7" s="216">
        <f t="shared" ref="P7:Z7" si="0">$F$7*$I$7/12</f>
        <v>54166.666666666664</v>
      </c>
      <c r="Q7" s="216">
        <f t="shared" si="0"/>
        <v>54166.666666666664</v>
      </c>
      <c r="R7" s="216">
        <f t="shared" si="0"/>
        <v>54166.666666666664</v>
      </c>
      <c r="S7" s="216">
        <f t="shared" si="0"/>
        <v>54166.666666666664</v>
      </c>
      <c r="T7" s="216">
        <f t="shared" si="0"/>
        <v>54166.666666666664</v>
      </c>
      <c r="U7" s="216">
        <f t="shared" si="0"/>
        <v>54166.666666666664</v>
      </c>
      <c r="V7" s="216">
        <f t="shared" si="0"/>
        <v>54166.666666666664</v>
      </c>
      <c r="W7" s="216">
        <f t="shared" si="0"/>
        <v>54166.666666666664</v>
      </c>
      <c r="X7" s="216">
        <f t="shared" si="0"/>
        <v>54166.666666666664</v>
      </c>
      <c r="Y7" s="216">
        <f t="shared" si="0"/>
        <v>54166.666666666664</v>
      </c>
      <c r="Z7" s="216">
        <f t="shared" si="0"/>
        <v>54166.666666666664</v>
      </c>
      <c r="AA7" s="216">
        <f>$F$7*$I$7/12+5</f>
        <v>54171.666666666664</v>
      </c>
      <c r="AB7" s="212">
        <f>SUM(P7:AA7)</f>
        <v>650005</v>
      </c>
      <c r="AC7" s="216">
        <f t="shared" ref="AC7:AN7" si="1">$F$7*$I$7/12</f>
        <v>54166.666666666664</v>
      </c>
      <c r="AD7" s="216">
        <f t="shared" si="1"/>
        <v>54166.666666666664</v>
      </c>
      <c r="AE7" s="216">
        <f t="shared" si="1"/>
        <v>54166.666666666664</v>
      </c>
      <c r="AF7" s="216">
        <f t="shared" si="1"/>
        <v>54166.666666666664</v>
      </c>
      <c r="AG7" s="216">
        <f t="shared" si="1"/>
        <v>54166.666666666664</v>
      </c>
      <c r="AH7" s="216">
        <f t="shared" si="1"/>
        <v>54166.666666666664</v>
      </c>
      <c r="AI7" s="216">
        <f t="shared" si="1"/>
        <v>54166.666666666664</v>
      </c>
      <c r="AJ7" s="216">
        <f t="shared" si="1"/>
        <v>54166.666666666664</v>
      </c>
      <c r="AK7" s="216">
        <f t="shared" si="1"/>
        <v>54166.666666666664</v>
      </c>
      <c r="AL7" s="216">
        <f t="shared" si="1"/>
        <v>54166.666666666664</v>
      </c>
      <c r="AM7" s="216">
        <f t="shared" si="1"/>
        <v>54166.666666666664</v>
      </c>
      <c r="AN7" s="216">
        <f t="shared" si="1"/>
        <v>54166.666666666664</v>
      </c>
      <c r="AO7" s="212">
        <f t="shared" ref="AO7:AO20" si="2">SUM(AC7:AN7)</f>
        <v>650000</v>
      </c>
      <c r="AP7" s="216">
        <f t="shared" ref="AP7:BA7" si="3">$F$7*$I$7/12</f>
        <v>54166.666666666664</v>
      </c>
      <c r="AQ7" s="216">
        <f t="shared" si="3"/>
        <v>54166.666666666664</v>
      </c>
      <c r="AR7" s="216">
        <f t="shared" si="3"/>
        <v>54166.666666666664</v>
      </c>
      <c r="AS7" s="216">
        <f t="shared" si="3"/>
        <v>54166.666666666664</v>
      </c>
      <c r="AT7" s="216">
        <f t="shared" si="3"/>
        <v>54166.666666666664</v>
      </c>
      <c r="AU7" s="216">
        <f t="shared" si="3"/>
        <v>54166.666666666664</v>
      </c>
      <c r="AV7" s="216">
        <f t="shared" si="3"/>
        <v>54166.666666666664</v>
      </c>
      <c r="AW7" s="216">
        <f t="shared" si="3"/>
        <v>54166.666666666664</v>
      </c>
      <c r="AX7" s="216">
        <f t="shared" si="3"/>
        <v>54166.666666666664</v>
      </c>
      <c r="AY7" s="216">
        <f t="shared" si="3"/>
        <v>54166.666666666664</v>
      </c>
      <c r="AZ7" s="216">
        <f t="shared" si="3"/>
        <v>54166.666666666664</v>
      </c>
      <c r="BA7" s="216">
        <f t="shared" si="3"/>
        <v>54166.666666666664</v>
      </c>
      <c r="BB7" s="212">
        <f>SUM(AP7:BA7)</f>
        <v>650000</v>
      </c>
      <c r="BC7" s="216">
        <f>$F$7*$I$7/12</f>
        <v>54166.666666666664</v>
      </c>
      <c r="BD7" s="216">
        <v>54166.666666666664</v>
      </c>
      <c r="BE7" s="216">
        <v>54166.666666666664</v>
      </c>
      <c r="BF7" s="216">
        <v>54166.666666666664</v>
      </c>
      <c r="BG7" s="216">
        <v>54166.666666666664</v>
      </c>
      <c r="BH7" s="216"/>
      <c r="BI7" s="216"/>
      <c r="BJ7" s="216"/>
      <c r="BK7" s="216"/>
      <c r="BL7" s="216"/>
      <c r="BM7" s="216"/>
      <c r="BN7" s="216"/>
      <c r="BO7" s="212">
        <f>SUM(BC7:BN7)</f>
        <v>270833.33333333331</v>
      </c>
      <c r="BP7" s="215">
        <f>+O7+AB7+AO7+BB7+BO7</f>
        <v>2383338.3333333335</v>
      </c>
      <c r="BQ7" s="215">
        <f t="shared" ref="BQ7:BQ19" si="4">+K7-BP7</f>
        <v>4116661.6666666665</v>
      </c>
      <c r="BR7" s="224"/>
      <c r="BS7" s="224"/>
    </row>
    <row r="8" spans="1:71" s="206" customFormat="1" ht="12" x14ac:dyDescent="0.25">
      <c r="B8" s="207" t="s">
        <v>17</v>
      </c>
      <c r="C8" s="208">
        <v>44186</v>
      </c>
      <c r="D8" s="209" t="s">
        <v>18</v>
      </c>
      <c r="E8" s="210"/>
      <c r="F8" s="211">
        <f>6870000/1.19</f>
        <v>5773109.2436974794</v>
      </c>
      <c r="G8" s="211">
        <f>6870000-F8</f>
        <v>1096890.7563025206</v>
      </c>
      <c r="H8" s="212"/>
      <c r="I8" s="213">
        <v>0.1</v>
      </c>
      <c r="J8" s="211">
        <v>10</v>
      </c>
      <c r="K8" s="211">
        <f t="shared" ref="K8:K14" si="5">F8+G8+H8</f>
        <v>6870000</v>
      </c>
      <c r="L8" s="211" t="s">
        <v>82</v>
      </c>
      <c r="M8" s="211" t="s">
        <v>83</v>
      </c>
      <c r="N8" s="214"/>
      <c r="O8" s="215">
        <f>+H8</f>
        <v>0</v>
      </c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2">
        <f>SUM(P8:AA8)+O8</f>
        <v>0</v>
      </c>
      <c r="AC8" s="216">
        <f t="shared" ref="AC8:AN8" si="6">$K$8*$I$8/12</f>
        <v>57250</v>
      </c>
      <c r="AD8" s="216">
        <f t="shared" si="6"/>
        <v>57250</v>
      </c>
      <c r="AE8" s="216">
        <f t="shared" si="6"/>
        <v>57250</v>
      </c>
      <c r="AF8" s="216">
        <f t="shared" si="6"/>
        <v>57250</v>
      </c>
      <c r="AG8" s="216">
        <f t="shared" si="6"/>
        <v>57250</v>
      </c>
      <c r="AH8" s="216">
        <f t="shared" si="6"/>
        <v>57250</v>
      </c>
      <c r="AI8" s="216">
        <f t="shared" si="6"/>
        <v>57250</v>
      </c>
      <c r="AJ8" s="216">
        <f t="shared" si="6"/>
        <v>57250</v>
      </c>
      <c r="AK8" s="216">
        <f t="shared" si="6"/>
        <v>57250</v>
      </c>
      <c r="AL8" s="216">
        <f t="shared" si="6"/>
        <v>57250</v>
      </c>
      <c r="AM8" s="216">
        <f t="shared" si="6"/>
        <v>57250</v>
      </c>
      <c r="AN8" s="216">
        <f t="shared" si="6"/>
        <v>57250</v>
      </c>
      <c r="AO8" s="212">
        <f t="shared" si="2"/>
        <v>687000</v>
      </c>
      <c r="AP8" s="216">
        <f t="shared" ref="AP8:BC8" si="7">$K$8*$I$8/12</f>
        <v>57250</v>
      </c>
      <c r="AQ8" s="216">
        <f t="shared" si="7"/>
        <v>57250</v>
      </c>
      <c r="AR8" s="216">
        <f t="shared" si="7"/>
        <v>57250</v>
      </c>
      <c r="AS8" s="216">
        <f t="shared" si="7"/>
        <v>57250</v>
      </c>
      <c r="AT8" s="216">
        <f t="shared" si="7"/>
        <v>57250</v>
      </c>
      <c r="AU8" s="216">
        <f t="shared" si="7"/>
        <v>57250</v>
      </c>
      <c r="AV8" s="216">
        <f t="shared" si="7"/>
        <v>57250</v>
      </c>
      <c r="AW8" s="216">
        <f t="shared" si="7"/>
        <v>57250</v>
      </c>
      <c r="AX8" s="216">
        <f t="shared" si="7"/>
        <v>57250</v>
      </c>
      <c r="AY8" s="216">
        <f t="shared" si="7"/>
        <v>57250</v>
      </c>
      <c r="AZ8" s="216">
        <f t="shared" si="7"/>
        <v>57250</v>
      </c>
      <c r="BA8" s="216">
        <f t="shared" si="7"/>
        <v>57250</v>
      </c>
      <c r="BB8" s="212">
        <f>SUM(AP8:BA8)</f>
        <v>687000</v>
      </c>
      <c r="BC8" s="216">
        <f t="shared" si="7"/>
        <v>57250</v>
      </c>
      <c r="BD8" s="216">
        <v>57250</v>
      </c>
      <c r="BE8" s="216">
        <v>57250</v>
      </c>
      <c r="BF8" s="216">
        <v>57250</v>
      </c>
      <c r="BG8" s="216">
        <v>57250</v>
      </c>
      <c r="BH8" s="216"/>
      <c r="BI8" s="216"/>
      <c r="BJ8" s="216"/>
      <c r="BK8" s="216"/>
      <c r="BL8" s="216"/>
      <c r="BM8" s="216"/>
      <c r="BN8" s="216"/>
      <c r="BO8" s="212">
        <f>SUM(BC8:BN8)</f>
        <v>286250</v>
      </c>
      <c r="BP8" s="215">
        <f t="shared" ref="BP8:BP20" si="8">+O8+AB8+AO8+BB8+BO8</f>
        <v>1660250</v>
      </c>
      <c r="BQ8" s="215">
        <f t="shared" si="4"/>
        <v>5209750</v>
      </c>
      <c r="BR8" s="224"/>
      <c r="BS8" s="224"/>
    </row>
    <row r="9" spans="1:71" s="206" customFormat="1" ht="12" hidden="1" x14ac:dyDescent="0.25">
      <c r="B9" s="207" t="s">
        <v>138</v>
      </c>
      <c r="C9" s="208">
        <v>44449</v>
      </c>
      <c r="D9" s="209" t="s">
        <v>73</v>
      </c>
      <c r="E9" s="210"/>
      <c r="F9" s="211">
        <v>1319243</v>
      </c>
      <c r="G9" s="211">
        <v>250657</v>
      </c>
      <c r="H9" s="212"/>
      <c r="I9" s="213">
        <v>1</v>
      </c>
      <c r="J9" s="211">
        <v>1</v>
      </c>
      <c r="K9" s="211">
        <f t="shared" si="5"/>
        <v>1569900</v>
      </c>
      <c r="L9" s="211" t="s">
        <v>86</v>
      </c>
      <c r="M9" s="211" t="s">
        <v>87</v>
      </c>
      <c r="N9" s="214"/>
      <c r="O9" s="215">
        <f>+H9</f>
        <v>0</v>
      </c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2">
        <f>SUM(P9:AA9)+O9</f>
        <v>0</v>
      </c>
      <c r="AC9" s="216"/>
      <c r="AD9" s="216"/>
      <c r="AE9" s="216"/>
      <c r="AF9" s="216"/>
      <c r="AG9" s="216"/>
      <c r="AH9" s="216"/>
      <c r="AI9" s="216"/>
      <c r="AJ9" s="216"/>
      <c r="AK9" s="216">
        <v>1569900</v>
      </c>
      <c r="AL9" s="216"/>
      <c r="AM9" s="216"/>
      <c r="AN9" s="216"/>
      <c r="AO9" s="212">
        <f t="shared" si="2"/>
        <v>1569900</v>
      </c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2">
        <f t="shared" ref="BB9:BB20" si="9">SUM(AP9:BA9)</f>
        <v>0</v>
      </c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2">
        <f>SUM(BC9:BN9)</f>
        <v>0</v>
      </c>
      <c r="BP9" s="215">
        <f t="shared" si="8"/>
        <v>1569900</v>
      </c>
      <c r="BQ9" s="215">
        <f t="shared" si="4"/>
        <v>0</v>
      </c>
    </row>
    <row r="10" spans="1:71" s="206" customFormat="1" ht="12" hidden="1" x14ac:dyDescent="0.25">
      <c r="B10" s="207" t="s">
        <v>144</v>
      </c>
      <c r="C10" s="208">
        <v>44580</v>
      </c>
      <c r="D10" s="209" t="s">
        <v>18</v>
      </c>
      <c r="E10" s="210"/>
      <c r="F10" s="211">
        <v>1336134</v>
      </c>
      <c r="G10" s="211">
        <v>253865</v>
      </c>
      <c r="H10" s="212"/>
      <c r="I10" s="213">
        <v>1</v>
      </c>
      <c r="J10" s="211">
        <v>1</v>
      </c>
      <c r="K10" s="211">
        <f>F10+G10+H10</f>
        <v>1589999</v>
      </c>
      <c r="L10" s="211"/>
      <c r="M10" s="211"/>
      <c r="N10" s="214"/>
      <c r="O10" s="215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2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2">
        <f t="shared" si="2"/>
        <v>0</v>
      </c>
      <c r="AP10" s="216">
        <f t="shared" ref="AP10:BA10" si="10">$K$10*$I$10/12</f>
        <v>132499.91666666666</v>
      </c>
      <c r="AQ10" s="216">
        <f t="shared" si="10"/>
        <v>132499.91666666666</v>
      </c>
      <c r="AR10" s="216">
        <f t="shared" si="10"/>
        <v>132499.91666666666</v>
      </c>
      <c r="AS10" s="216">
        <f t="shared" si="10"/>
        <v>132499.91666666666</v>
      </c>
      <c r="AT10" s="216">
        <f t="shared" si="10"/>
        <v>132499.91666666666</v>
      </c>
      <c r="AU10" s="216">
        <f t="shared" si="10"/>
        <v>132499.91666666666</v>
      </c>
      <c r="AV10" s="216">
        <f t="shared" si="10"/>
        <v>132499.91666666666</v>
      </c>
      <c r="AW10" s="216">
        <f t="shared" si="10"/>
        <v>132499.91666666666</v>
      </c>
      <c r="AX10" s="216">
        <f t="shared" si="10"/>
        <v>132499.91666666666</v>
      </c>
      <c r="AY10" s="216">
        <f t="shared" si="10"/>
        <v>132499.91666666666</v>
      </c>
      <c r="AZ10" s="216">
        <f t="shared" si="10"/>
        <v>132499.91666666666</v>
      </c>
      <c r="BA10" s="216">
        <f t="shared" si="10"/>
        <v>132499.91666666666</v>
      </c>
      <c r="BB10" s="212">
        <f t="shared" si="9"/>
        <v>1589999.0000000002</v>
      </c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2">
        <f t="shared" ref="BO10:BO19" si="11">SUM(BC10:BN10)</f>
        <v>0</v>
      </c>
      <c r="BP10" s="215">
        <f t="shared" si="8"/>
        <v>1589999.0000000002</v>
      </c>
      <c r="BQ10" s="215">
        <f>+K10-BP10</f>
        <v>0</v>
      </c>
      <c r="BR10" s="224">
        <f>+BP10+BQ10</f>
        <v>1589999.0000000002</v>
      </c>
      <c r="BS10" s="224">
        <f>+F10+G10-BR10</f>
        <v>0</v>
      </c>
    </row>
    <row r="11" spans="1:71" s="206" customFormat="1" ht="12" hidden="1" x14ac:dyDescent="0.25">
      <c r="B11" s="207" t="s">
        <v>147</v>
      </c>
      <c r="C11" s="208">
        <v>44657</v>
      </c>
      <c r="D11" s="209"/>
      <c r="E11" s="210"/>
      <c r="F11" s="211">
        <v>1252101</v>
      </c>
      <c r="G11" s="211">
        <v>237899</v>
      </c>
      <c r="H11" s="212"/>
      <c r="I11" s="213">
        <v>1</v>
      </c>
      <c r="J11" s="211">
        <v>1</v>
      </c>
      <c r="K11" s="211">
        <f t="shared" si="5"/>
        <v>1490000</v>
      </c>
      <c r="L11" s="211"/>
      <c r="M11" s="211"/>
      <c r="N11" s="214"/>
      <c r="O11" s="215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2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2">
        <f t="shared" si="2"/>
        <v>0</v>
      </c>
      <c r="AP11" s="216"/>
      <c r="AQ11" s="216"/>
      <c r="AR11" s="216"/>
      <c r="AS11" s="216"/>
      <c r="AT11" s="216">
        <f t="shared" ref="AT11:AZ11" si="12">$K$11*$I$11/12</f>
        <v>124166.66666666667</v>
      </c>
      <c r="AU11" s="216">
        <f t="shared" si="12"/>
        <v>124166.66666666667</v>
      </c>
      <c r="AV11" s="216">
        <f t="shared" si="12"/>
        <v>124166.66666666667</v>
      </c>
      <c r="AW11" s="216">
        <f t="shared" si="12"/>
        <v>124166.66666666667</v>
      </c>
      <c r="AX11" s="216">
        <f t="shared" si="12"/>
        <v>124166.66666666667</v>
      </c>
      <c r="AY11" s="216">
        <f t="shared" si="12"/>
        <v>124166.66666666667</v>
      </c>
      <c r="AZ11" s="216">
        <f t="shared" si="12"/>
        <v>124166.66666666667</v>
      </c>
      <c r="BA11" s="216"/>
      <c r="BB11" s="212">
        <f>SUM(AP11:BA11)</f>
        <v>869166.66666666663</v>
      </c>
      <c r="BC11" s="216">
        <f>$K$11*$I$11/12*2</f>
        <v>248333.33333333334</v>
      </c>
      <c r="BD11" s="216">
        <f t="shared" ref="BD11:BF11" si="13">$K$11*$I$11/12</f>
        <v>124166.66666666667</v>
      </c>
      <c r="BE11" s="216">
        <f t="shared" si="13"/>
        <v>124166.66666666667</v>
      </c>
      <c r="BF11" s="216">
        <f t="shared" si="13"/>
        <v>124166.66666666667</v>
      </c>
      <c r="BG11" s="216"/>
      <c r="BH11" s="216"/>
      <c r="BI11" s="216"/>
      <c r="BJ11" s="216"/>
      <c r="BK11" s="216"/>
      <c r="BL11" s="216"/>
      <c r="BM11" s="216"/>
      <c r="BN11" s="216"/>
      <c r="BO11" s="212">
        <f>SUM(BC11:BN11)</f>
        <v>620833.33333333337</v>
      </c>
      <c r="BP11" s="215">
        <f>+O11+AB11+AO11+BB11+BO11</f>
        <v>1490000</v>
      </c>
      <c r="BQ11" s="215">
        <f>+K11-BP11</f>
        <v>0</v>
      </c>
      <c r="BR11" s="224"/>
      <c r="BS11" s="224"/>
    </row>
    <row r="12" spans="1:71" s="206" customFormat="1" ht="12" hidden="1" x14ac:dyDescent="0.25">
      <c r="B12" s="207" t="s">
        <v>153</v>
      </c>
      <c r="C12" s="208">
        <v>44785</v>
      </c>
      <c r="D12" s="209"/>
      <c r="E12" s="210"/>
      <c r="F12" s="217">
        <v>1007760</v>
      </c>
      <c r="G12" s="211"/>
      <c r="H12" s="217"/>
      <c r="I12" s="213">
        <v>1</v>
      </c>
      <c r="J12" s="211"/>
      <c r="K12" s="211">
        <f t="shared" si="5"/>
        <v>1007760</v>
      </c>
      <c r="L12" s="211"/>
      <c r="M12" s="211"/>
      <c r="N12" s="214"/>
      <c r="O12" s="215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2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2">
        <f t="shared" si="2"/>
        <v>0</v>
      </c>
      <c r="AP12" s="216"/>
      <c r="AQ12" s="216"/>
      <c r="AR12" s="216"/>
      <c r="AS12" s="216"/>
      <c r="AT12" s="216"/>
      <c r="AU12" s="216"/>
      <c r="AV12" s="216"/>
      <c r="AW12" s="216"/>
      <c r="AX12" s="216">
        <v>1007760</v>
      </c>
      <c r="AY12" s="216"/>
      <c r="AZ12" s="216"/>
      <c r="BA12" s="216"/>
      <c r="BB12" s="212">
        <f t="shared" si="9"/>
        <v>1007760</v>
      </c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2">
        <f t="shared" si="11"/>
        <v>0</v>
      </c>
      <c r="BP12" s="215">
        <f t="shared" si="8"/>
        <v>1007760</v>
      </c>
      <c r="BQ12" s="215">
        <f t="shared" si="4"/>
        <v>0</v>
      </c>
    </row>
    <row r="13" spans="1:71" s="206" customFormat="1" ht="12" hidden="1" x14ac:dyDescent="0.25">
      <c r="B13" s="207" t="s">
        <v>153</v>
      </c>
      <c r="C13" s="208">
        <v>44806</v>
      </c>
      <c r="D13" s="209"/>
      <c r="E13" s="210"/>
      <c r="F13" s="217">
        <v>1007760</v>
      </c>
      <c r="G13" s="211"/>
      <c r="H13" s="217"/>
      <c r="I13" s="213">
        <v>1</v>
      </c>
      <c r="J13" s="211"/>
      <c r="K13" s="211">
        <f t="shared" si="5"/>
        <v>1007760</v>
      </c>
      <c r="L13" s="211"/>
      <c r="M13" s="211"/>
      <c r="N13" s="214"/>
      <c r="O13" s="215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2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2">
        <f t="shared" si="2"/>
        <v>0</v>
      </c>
      <c r="AP13" s="216"/>
      <c r="AQ13" s="216"/>
      <c r="AR13" s="216"/>
      <c r="AS13" s="216"/>
      <c r="AT13" s="216"/>
      <c r="AU13" s="216"/>
      <c r="AV13" s="216"/>
      <c r="AW13" s="216"/>
      <c r="AX13" s="216">
        <v>1007760</v>
      </c>
      <c r="AY13" s="216"/>
      <c r="AZ13" s="216"/>
      <c r="BA13" s="216"/>
      <c r="BB13" s="212">
        <f t="shared" si="9"/>
        <v>1007760</v>
      </c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6"/>
      <c r="BO13" s="212">
        <f t="shared" si="11"/>
        <v>0</v>
      </c>
      <c r="BP13" s="215">
        <f t="shared" si="8"/>
        <v>1007760</v>
      </c>
      <c r="BQ13" s="215">
        <f t="shared" si="4"/>
        <v>0</v>
      </c>
    </row>
    <row r="14" spans="1:71" s="206" customFormat="1" ht="24" hidden="1" x14ac:dyDescent="0.25">
      <c r="B14" s="207" t="s">
        <v>164</v>
      </c>
      <c r="C14" s="208">
        <v>44889</v>
      </c>
      <c r="D14" s="209" t="s">
        <v>165</v>
      </c>
      <c r="E14" s="214"/>
      <c r="F14" s="217">
        <v>474790</v>
      </c>
      <c r="G14" s="211">
        <v>90210</v>
      </c>
      <c r="H14" s="217"/>
      <c r="I14" s="213">
        <v>1</v>
      </c>
      <c r="J14" s="211"/>
      <c r="K14" s="211">
        <f t="shared" si="5"/>
        <v>565000</v>
      </c>
      <c r="L14" s="211"/>
      <c r="M14" s="211"/>
      <c r="N14" s="214"/>
      <c r="O14" s="215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2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2">
        <f t="shared" si="2"/>
        <v>0</v>
      </c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>
        <f t="shared" ref="BA14:BA19" si="14">+K14</f>
        <v>565000</v>
      </c>
      <c r="BB14" s="212">
        <f t="shared" si="9"/>
        <v>565000</v>
      </c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6"/>
      <c r="BO14" s="212">
        <f t="shared" si="11"/>
        <v>0</v>
      </c>
      <c r="BP14" s="215">
        <f t="shared" si="8"/>
        <v>565000</v>
      </c>
      <c r="BQ14" s="215">
        <f t="shared" si="4"/>
        <v>0</v>
      </c>
    </row>
    <row r="15" spans="1:71" s="206" customFormat="1" ht="12" hidden="1" x14ac:dyDescent="0.25">
      <c r="B15" s="207" t="s">
        <v>172</v>
      </c>
      <c r="C15" s="208">
        <v>44891</v>
      </c>
      <c r="D15" s="209" t="s">
        <v>173</v>
      </c>
      <c r="E15" s="210" t="s">
        <v>174</v>
      </c>
      <c r="F15" s="217">
        <f>630168+1243613</f>
        <v>1873781</v>
      </c>
      <c r="G15" s="211">
        <v>356018</v>
      </c>
      <c r="H15" s="217"/>
      <c r="I15" s="213">
        <v>1</v>
      </c>
      <c r="J15" s="211"/>
      <c r="K15" s="211">
        <f>+G15+F15</f>
        <v>2229799</v>
      </c>
      <c r="L15" s="211"/>
      <c r="M15" s="211"/>
      <c r="N15" s="214"/>
      <c r="O15" s="215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2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2">
        <f t="shared" si="2"/>
        <v>0</v>
      </c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>
        <f t="shared" si="14"/>
        <v>2229799</v>
      </c>
      <c r="BB15" s="212">
        <f t="shared" si="9"/>
        <v>2229799</v>
      </c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>
        <f t="shared" ref="BN15:BN19" si="15">+X15</f>
        <v>0</v>
      </c>
      <c r="BO15" s="212">
        <f t="shared" si="11"/>
        <v>0</v>
      </c>
      <c r="BP15" s="215">
        <f t="shared" si="8"/>
        <v>2229799</v>
      </c>
      <c r="BQ15" s="215">
        <f t="shared" si="4"/>
        <v>0</v>
      </c>
    </row>
    <row r="16" spans="1:71" s="206" customFormat="1" ht="12" hidden="1" x14ac:dyDescent="0.25">
      <c r="B16" s="207" t="s">
        <v>17</v>
      </c>
      <c r="C16" s="208">
        <v>44895</v>
      </c>
      <c r="D16" s="209" t="s">
        <v>18</v>
      </c>
      <c r="E16" s="210" t="s">
        <v>166</v>
      </c>
      <c r="F16" s="217">
        <v>705882.35</v>
      </c>
      <c r="G16" s="211">
        <f>+F16*19%</f>
        <v>134117.6465</v>
      </c>
      <c r="H16" s="217"/>
      <c r="I16" s="213">
        <v>1</v>
      </c>
      <c r="J16" s="211"/>
      <c r="K16" s="211">
        <f>F16+G16+H16</f>
        <v>839999.99650000001</v>
      </c>
      <c r="L16" s="211"/>
      <c r="M16" s="211"/>
      <c r="N16" s="214"/>
      <c r="O16" s="215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2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2">
        <f t="shared" si="2"/>
        <v>0</v>
      </c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>
        <f t="shared" si="14"/>
        <v>839999.99650000001</v>
      </c>
      <c r="BB16" s="212">
        <f t="shared" si="9"/>
        <v>839999.99650000001</v>
      </c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>
        <f t="shared" si="15"/>
        <v>0</v>
      </c>
      <c r="BO16" s="212">
        <f t="shared" si="11"/>
        <v>0</v>
      </c>
      <c r="BP16" s="215">
        <f t="shared" si="8"/>
        <v>839999.99650000001</v>
      </c>
      <c r="BQ16" s="215">
        <f t="shared" si="4"/>
        <v>0</v>
      </c>
    </row>
    <row r="17" spans="1:142" s="206" customFormat="1" ht="12" hidden="1" x14ac:dyDescent="0.25">
      <c r="B17" s="207" t="s">
        <v>144</v>
      </c>
      <c r="C17" s="208">
        <v>44895</v>
      </c>
      <c r="D17" s="209" t="s">
        <v>18</v>
      </c>
      <c r="E17" s="210" t="s">
        <v>166</v>
      </c>
      <c r="F17" s="217">
        <v>1655462.19</v>
      </c>
      <c r="G17" s="211">
        <f>+F17*19%</f>
        <v>314537.8161</v>
      </c>
      <c r="H17" s="217"/>
      <c r="I17" s="213">
        <v>1</v>
      </c>
      <c r="J17" s="211"/>
      <c r="K17" s="211">
        <f>F17+G17+H17</f>
        <v>1970000.0060999999</v>
      </c>
      <c r="L17" s="211"/>
      <c r="M17" s="211"/>
      <c r="N17" s="214"/>
      <c r="O17" s="215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2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2">
        <f t="shared" si="2"/>
        <v>0</v>
      </c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>
        <f t="shared" si="14"/>
        <v>1970000.0060999999</v>
      </c>
      <c r="BB17" s="212">
        <f t="shared" si="9"/>
        <v>1970000.0060999999</v>
      </c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>
        <f t="shared" si="15"/>
        <v>0</v>
      </c>
      <c r="BO17" s="212">
        <f t="shared" si="11"/>
        <v>0</v>
      </c>
      <c r="BP17" s="215">
        <f t="shared" si="8"/>
        <v>1970000.0060999999</v>
      </c>
      <c r="BQ17" s="215">
        <f t="shared" si="4"/>
        <v>0</v>
      </c>
    </row>
    <row r="18" spans="1:142" s="206" customFormat="1" ht="12" hidden="1" x14ac:dyDescent="0.25">
      <c r="B18" s="207" t="s">
        <v>167</v>
      </c>
      <c r="C18" s="208">
        <v>44895</v>
      </c>
      <c r="D18" s="209" t="s">
        <v>18</v>
      </c>
      <c r="E18" s="210" t="s">
        <v>166</v>
      </c>
      <c r="F18" s="217">
        <v>336134.46</v>
      </c>
      <c r="G18" s="211">
        <f>+F18*19%</f>
        <v>63865.547400000003</v>
      </c>
      <c r="H18" s="217"/>
      <c r="I18" s="213">
        <v>1</v>
      </c>
      <c r="J18" s="211"/>
      <c r="K18" s="211">
        <f>F18+G18+H18</f>
        <v>400000.0074</v>
      </c>
      <c r="L18" s="211"/>
      <c r="M18" s="211"/>
      <c r="N18" s="214"/>
      <c r="O18" s="215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2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2">
        <f t="shared" si="2"/>
        <v>0</v>
      </c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6">
        <f t="shared" si="14"/>
        <v>400000.0074</v>
      </c>
      <c r="BB18" s="212">
        <f t="shared" si="9"/>
        <v>400000.0074</v>
      </c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6">
        <f t="shared" si="15"/>
        <v>0</v>
      </c>
      <c r="BO18" s="212">
        <f t="shared" si="11"/>
        <v>0</v>
      </c>
      <c r="BP18" s="215">
        <f t="shared" si="8"/>
        <v>400000.0074</v>
      </c>
      <c r="BQ18" s="215">
        <f t="shared" si="4"/>
        <v>0</v>
      </c>
    </row>
    <row r="19" spans="1:142" s="206" customFormat="1" ht="12" hidden="1" x14ac:dyDescent="0.25">
      <c r="B19" s="207" t="s">
        <v>167</v>
      </c>
      <c r="C19" s="208">
        <v>44895</v>
      </c>
      <c r="D19" s="209" t="s">
        <v>18</v>
      </c>
      <c r="E19" s="210" t="s">
        <v>166</v>
      </c>
      <c r="F19" s="217">
        <v>336134.46</v>
      </c>
      <c r="G19" s="211">
        <f>+F19*19%</f>
        <v>63865.547400000003</v>
      </c>
      <c r="H19" s="217"/>
      <c r="I19" s="213">
        <v>1</v>
      </c>
      <c r="J19" s="211"/>
      <c r="K19" s="211">
        <f>F19+G19+H19</f>
        <v>400000.0074</v>
      </c>
      <c r="L19" s="211"/>
      <c r="M19" s="211"/>
      <c r="N19" s="214"/>
      <c r="O19" s="215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2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2">
        <f t="shared" si="2"/>
        <v>0</v>
      </c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>
        <f t="shared" si="14"/>
        <v>400000.0074</v>
      </c>
      <c r="BB19" s="212">
        <f t="shared" si="9"/>
        <v>400000.0074</v>
      </c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>
        <f t="shared" si="15"/>
        <v>0</v>
      </c>
      <c r="BO19" s="212">
        <f t="shared" si="11"/>
        <v>0</v>
      </c>
      <c r="BP19" s="215">
        <f t="shared" si="8"/>
        <v>400000.0074</v>
      </c>
      <c r="BQ19" s="215">
        <f t="shared" si="4"/>
        <v>0</v>
      </c>
    </row>
    <row r="20" spans="1:142" s="206" customFormat="1" ht="12" x14ac:dyDescent="0.25">
      <c r="B20" s="207" t="s">
        <v>178</v>
      </c>
      <c r="C20" s="208">
        <v>44895</v>
      </c>
      <c r="D20" s="209" t="s">
        <v>179</v>
      </c>
      <c r="E20" s="210" t="s">
        <v>180</v>
      </c>
      <c r="F20" s="217">
        <v>5913361</v>
      </c>
      <c r="G20" s="211">
        <v>1123539</v>
      </c>
      <c r="H20" s="217"/>
      <c r="I20" s="213">
        <v>0.1</v>
      </c>
      <c r="J20" s="211">
        <v>10</v>
      </c>
      <c r="K20" s="211">
        <f>+G20+F20</f>
        <v>7036900</v>
      </c>
      <c r="L20" s="211"/>
      <c r="M20" s="211"/>
      <c r="N20" s="214"/>
      <c r="O20" s="215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2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2">
        <f t="shared" si="2"/>
        <v>0</v>
      </c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>
        <f>$K$20*$I$20/12</f>
        <v>58640.833333333336</v>
      </c>
      <c r="BB20" s="212">
        <f t="shared" si="9"/>
        <v>58640.833333333336</v>
      </c>
      <c r="BC20" s="216">
        <f>$K$20*$I$20/12</f>
        <v>58640.833333333336</v>
      </c>
      <c r="BD20" s="216">
        <f>$K$20*$I$20/12</f>
        <v>58640.833333333336</v>
      </c>
      <c r="BE20" s="216">
        <f>$K$20*$I$20/12</f>
        <v>58640.833333333336</v>
      </c>
      <c r="BF20" s="216">
        <f>$K$20*$I$20/12</f>
        <v>58640.833333333336</v>
      </c>
      <c r="BG20" s="216">
        <f>$K$20*$I$20/12</f>
        <v>58640.833333333336</v>
      </c>
      <c r="BH20" s="216"/>
      <c r="BI20" s="216"/>
      <c r="BJ20" s="216"/>
      <c r="BK20" s="216"/>
      <c r="BL20" s="216"/>
      <c r="BM20" s="216"/>
      <c r="BN20" s="216"/>
      <c r="BO20" s="212">
        <f>SUM(BC20:BN20)</f>
        <v>293204.16666666669</v>
      </c>
      <c r="BP20" s="215">
        <f t="shared" si="8"/>
        <v>351845</v>
      </c>
      <c r="BQ20" s="215">
        <f>+K20-BP20</f>
        <v>6685055</v>
      </c>
      <c r="BR20" s="224"/>
      <c r="BS20" s="224"/>
    </row>
    <row r="21" spans="1:142" s="178" customFormat="1" ht="12" x14ac:dyDescent="0.25">
      <c r="B21" s="179" t="s">
        <v>10</v>
      </c>
      <c r="C21" s="165"/>
      <c r="D21" s="165"/>
      <c r="E21" s="165"/>
      <c r="F21" s="180">
        <f>SUM(F7:F17)</f>
        <v>22906022.783697482</v>
      </c>
      <c r="G21" s="181">
        <f>SUM(G7:G14)</f>
        <v>1929521.7563025206</v>
      </c>
      <c r="H21" s="182">
        <f>SUM(H7:H9)</f>
        <v>162500</v>
      </c>
      <c r="I21" s="183"/>
      <c r="J21" s="181"/>
      <c r="K21" s="180">
        <f>SUM(K7:K14)</f>
        <v>20600419</v>
      </c>
      <c r="L21" s="181"/>
      <c r="M21" s="180"/>
      <c r="O21" s="182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84"/>
      <c r="AB21" s="184"/>
      <c r="AC21" s="185">
        <f t="shared" ref="AC21:AN21" si="16">SUM(AC7:AC9)</f>
        <v>111416.66666666666</v>
      </c>
      <c r="AD21" s="185">
        <f t="shared" si="16"/>
        <v>111416.66666666666</v>
      </c>
      <c r="AE21" s="185">
        <f t="shared" si="16"/>
        <v>111416.66666666666</v>
      </c>
      <c r="AF21" s="185">
        <f t="shared" si="16"/>
        <v>111416.66666666666</v>
      </c>
      <c r="AG21" s="185">
        <f t="shared" si="16"/>
        <v>111416.66666666666</v>
      </c>
      <c r="AH21" s="185">
        <f t="shared" si="16"/>
        <v>111416.66666666666</v>
      </c>
      <c r="AI21" s="185">
        <f t="shared" si="16"/>
        <v>111416.66666666666</v>
      </c>
      <c r="AJ21" s="185">
        <f t="shared" si="16"/>
        <v>111416.66666666666</v>
      </c>
      <c r="AK21" s="185">
        <f t="shared" si="16"/>
        <v>1681316.6666666667</v>
      </c>
      <c r="AL21" s="185">
        <f t="shared" si="16"/>
        <v>111416.66666666666</v>
      </c>
      <c r="AM21" s="185">
        <f t="shared" si="16"/>
        <v>111416.66666666666</v>
      </c>
      <c r="AN21" s="185">
        <f t="shared" si="16"/>
        <v>111416.66666666666</v>
      </c>
      <c r="AO21" s="185">
        <f>SUM(AO7:AO20)</f>
        <v>2906900</v>
      </c>
      <c r="AP21" s="185">
        <f>SUM(AP7:AP20)</f>
        <v>243916.58333333331</v>
      </c>
      <c r="AQ21" s="185">
        <f t="shared" ref="AQ21:BA21" si="17">SUM(AQ7:AQ20)</f>
        <v>243916.58333333331</v>
      </c>
      <c r="AR21" s="185">
        <f t="shared" si="17"/>
        <v>243916.58333333331</v>
      </c>
      <c r="AS21" s="185">
        <f t="shared" si="17"/>
        <v>243916.58333333331</v>
      </c>
      <c r="AT21" s="185">
        <f t="shared" si="17"/>
        <v>368083.25</v>
      </c>
      <c r="AU21" s="185">
        <f t="shared" si="17"/>
        <v>368083.25</v>
      </c>
      <c r="AV21" s="185">
        <f t="shared" si="17"/>
        <v>368083.25</v>
      </c>
      <c r="AW21" s="185">
        <f t="shared" si="17"/>
        <v>368083.25</v>
      </c>
      <c r="AX21" s="185">
        <f t="shared" si="17"/>
        <v>2383603.25</v>
      </c>
      <c r="AY21" s="185">
        <f t="shared" si="17"/>
        <v>368083.25</v>
      </c>
      <c r="AZ21" s="185">
        <f t="shared" si="17"/>
        <v>368083.25</v>
      </c>
      <c r="BA21" s="185">
        <f t="shared" si="17"/>
        <v>6707356.4340666672</v>
      </c>
      <c r="BB21" s="185">
        <f>SUM(BB7:BB20)</f>
        <v>12275125.517400002</v>
      </c>
      <c r="BC21" s="185">
        <f>SUM(BC7:BC20)</f>
        <v>418390.83333333331</v>
      </c>
      <c r="BD21" s="185">
        <f>SUM(BD7:BD20)</f>
        <v>294224.16666666663</v>
      </c>
      <c r="BE21" s="185">
        <f>SUM(BE7:BE20)</f>
        <v>294224.16666666663</v>
      </c>
      <c r="BF21" s="185">
        <f t="shared" ref="BF21:BM21" si="18">SUM(BF7:BF20)</f>
        <v>294224.16666666663</v>
      </c>
      <c r="BG21" s="185">
        <f>SUM(BG7:BG20)</f>
        <v>170057.5</v>
      </c>
      <c r="BH21" s="185">
        <f t="shared" si="18"/>
        <v>0</v>
      </c>
      <c r="BI21" s="185">
        <f t="shared" si="18"/>
        <v>0</v>
      </c>
      <c r="BJ21" s="185">
        <f t="shared" si="18"/>
        <v>0</v>
      </c>
      <c r="BK21" s="185">
        <f t="shared" si="18"/>
        <v>0</v>
      </c>
      <c r="BL21" s="185">
        <f t="shared" si="18"/>
        <v>0</v>
      </c>
      <c r="BM21" s="185">
        <f t="shared" si="18"/>
        <v>0</v>
      </c>
      <c r="BN21" s="185">
        <f>SUM(BN7:BN20)</f>
        <v>0</v>
      </c>
      <c r="BO21" s="185">
        <f>SUM(BO7:BO20)</f>
        <v>1471120.8333333333</v>
      </c>
      <c r="BP21" s="185">
        <f>SUM(BP7:BP20)</f>
        <v>17465651.350733336</v>
      </c>
      <c r="BQ21" s="185">
        <f>SUM(BQ7:BQ20)</f>
        <v>16011466.666666666</v>
      </c>
      <c r="BR21" s="224"/>
      <c r="BS21" s="224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4.4" thickBot="1" x14ac:dyDescent="0.35">
      <c r="A22" s="1">
        <v>1528</v>
      </c>
      <c r="B22" s="5" t="s">
        <v>19</v>
      </c>
      <c r="AD22" s="20"/>
      <c r="AO22" s="3">
        <v>-812505</v>
      </c>
      <c r="BR22" s="224"/>
      <c r="BS22" s="224"/>
    </row>
    <row r="23" spans="1:142" ht="14.4" thickBot="1" x14ac:dyDescent="0.35">
      <c r="B23" s="236" t="s">
        <v>11</v>
      </c>
      <c r="C23" s="238" t="s">
        <v>0</v>
      </c>
      <c r="D23" s="27"/>
      <c r="E23" s="238" t="s">
        <v>1</v>
      </c>
      <c r="F23" s="240" t="s">
        <v>258</v>
      </c>
      <c r="G23" s="234" t="s">
        <v>3</v>
      </c>
      <c r="H23" s="234" t="s">
        <v>4</v>
      </c>
      <c r="I23" s="242" t="s">
        <v>5</v>
      </c>
      <c r="J23" s="240" t="s">
        <v>6</v>
      </c>
      <c r="K23" s="241" t="s">
        <v>7</v>
      </c>
      <c r="L23" s="232" t="s">
        <v>8</v>
      </c>
      <c r="M23" s="234" t="s">
        <v>9</v>
      </c>
      <c r="O23" s="229" t="s">
        <v>181</v>
      </c>
      <c r="P23" s="229">
        <v>43831</v>
      </c>
      <c r="Q23" s="229">
        <v>43862</v>
      </c>
      <c r="R23" s="229">
        <v>43891</v>
      </c>
      <c r="S23" s="229">
        <v>43922</v>
      </c>
      <c r="T23" s="229">
        <v>43952</v>
      </c>
      <c r="U23" s="229">
        <v>43983</v>
      </c>
      <c r="V23" s="229">
        <v>44013</v>
      </c>
      <c r="W23" s="229">
        <v>44044</v>
      </c>
      <c r="X23" s="229">
        <v>44075</v>
      </c>
      <c r="Y23" s="229">
        <v>44105</v>
      </c>
      <c r="Z23" s="229">
        <v>44136</v>
      </c>
      <c r="AA23" s="229">
        <v>44166</v>
      </c>
      <c r="AB23" s="229" t="s">
        <v>183</v>
      </c>
      <c r="AC23" s="229">
        <v>44197</v>
      </c>
      <c r="AD23" s="229">
        <v>44228</v>
      </c>
      <c r="AE23" s="229">
        <v>44256</v>
      </c>
      <c r="AF23" s="229">
        <v>44287</v>
      </c>
      <c r="AG23" s="229">
        <v>44317</v>
      </c>
      <c r="AH23" s="229">
        <v>44348</v>
      </c>
      <c r="AI23" s="229">
        <v>44378</v>
      </c>
      <c r="AJ23" s="229">
        <v>44409</v>
      </c>
      <c r="AK23" s="229">
        <v>44440</v>
      </c>
      <c r="AL23" s="229">
        <v>44470</v>
      </c>
      <c r="AM23" s="229">
        <v>44501</v>
      </c>
      <c r="AN23" s="229">
        <v>44531</v>
      </c>
      <c r="AO23" s="229" t="s">
        <v>184</v>
      </c>
      <c r="AP23" s="229">
        <v>44562</v>
      </c>
      <c r="AQ23" s="229">
        <v>44593</v>
      </c>
      <c r="AR23" s="229">
        <v>44621</v>
      </c>
      <c r="AS23" s="229">
        <v>44652</v>
      </c>
      <c r="AT23" s="229">
        <v>44682</v>
      </c>
      <c r="AU23" s="229">
        <v>44713</v>
      </c>
      <c r="AV23" s="229">
        <v>44743</v>
      </c>
      <c r="AW23" s="229">
        <v>44774</v>
      </c>
      <c r="AX23" s="229">
        <v>44805</v>
      </c>
      <c r="AY23" s="229">
        <v>44835</v>
      </c>
      <c r="AZ23" s="229">
        <v>44866</v>
      </c>
      <c r="BA23" s="229">
        <v>44896</v>
      </c>
      <c r="BB23" s="229" t="s">
        <v>185</v>
      </c>
      <c r="BC23" s="229">
        <v>44927</v>
      </c>
      <c r="BD23" s="229">
        <v>44958</v>
      </c>
      <c r="BE23" s="229">
        <v>44986</v>
      </c>
      <c r="BF23" s="229">
        <v>45017</v>
      </c>
      <c r="BG23" s="229">
        <v>45047</v>
      </c>
      <c r="BH23" s="229">
        <v>45078</v>
      </c>
      <c r="BI23" s="229">
        <v>45108</v>
      </c>
      <c r="BJ23" s="229">
        <v>45139</v>
      </c>
      <c r="BK23" s="229">
        <v>45170</v>
      </c>
      <c r="BL23" s="229">
        <v>45200</v>
      </c>
      <c r="BM23" s="229">
        <v>45231</v>
      </c>
      <c r="BN23" s="229">
        <v>45261</v>
      </c>
      <c r="BO23" s="229" t="s">
        <v>254</v>
      </c>
      <c r="BP23" s="229" t="s">
        <v>13</v>
      </c>
      <c r="BQ23" s="229" t="s">
        <v>182</v>
      </c>
      <c r="BR23" s="224"/>
      <c r="BS23" s="224"/>
    </row>
    <row r="24" spans="1:142" ht="14.4" thickBot="1" x14ac:dyDescent="0.35">
      <c r="B24" s="237"/>
      <c r="C24" s="239"/>
      <c r="D24" s="28" t="s">
        <v>16</v>
      </c>
      <c r="E24" s="239"/>
      <c r="F24" s="241"/>
      <c r="G24" s="235"/>
      <c r="H24" s="235"/>
      <c r="I24" s="243"/>
      <c r="J24" s="240"/>
      <c r="K24" s="244"/>
      <c r="L24" s="233"/>
      <c r="M24" s="235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0"/>
      <c r="AB24" s="230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0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24"/>
      <c r="BS24" s="224"/>
    </row>
    <row r="25" spans="1:142" s="195" customFormat="1" ht="24" x14ac:dyDescent="0.3">
      <c r="A25" s="187"/>
      <c r="B25" s="188" t="s">
        <v>130</v>
      </c>
      <c r="C25" s="189">
        <v>43579</v>
      </c>
      <c r="D25" s="190" t="s">
        <v>128</v>
      </c>
      <c r="E25" s="191" t="s">
        <v>135</v>
      </c>
      <c r="F25" s="192">
        <v>9313000</v>
      </c>
      <c r="G25" s="192"/>
      <c r="H25" s="193">
        <f>F25/5/12*8</f>
        <v>1241733.3333333333</v>
      </c>
      <c r="I25" s="194">
        <v>0.2</v>
      </c>
      <c r="J25" s="192">
        <v>5</v>
      </c>
      <c r="K25" s="192">
        <f>F25+G25</f>
        <v>9313000</v>
      </c>
      <c r="L25" s="192"/>
      <c r="M25" s="192"/>
      <c r="O25" s="201">
        <f>+H25</f>
        <v>1241733.3333333333</v>
      </c>
      <c r="P25" s="203">
        <f>$F$25*$I$25/12</f>
        <v>155216.66666666666</v>
      </c>
      <c r="Q25" s="203">
        <f t="shared" ref="Q25:AA25" si="19">$F$25*$I$25/12</f>
        <v>155216.66666666666</v>
      </c>
      <c r="R25" s="203">
        <f t="shared" si="19"/>
        <v>155216.66666666666</v>
      </c>
      <c r="S25" s="203">
        <f t="shared" si="19"/>
        <v>155216.66666666666</v>
      </c>
      <c r="T25" s="203">
        <f t="shared" si="19"/>
        <v>155216.66666666666</v>
      </c>
      <c r="U25" s="203">
        <f t="shared" si="19"/>
        <v>155216.66666666666</v>
      </c>
      <c r="V25" s="203">
        <f t="shared" si="19"/>
        <v>155216.66666666666</v>
      </c>
      <c r="W25" s="203">
        <f t="shared" si="19"/>
        <v>155216.66666666666</v>
      </c>
      <c r="X25" s="203">
        <f t="shared" si="19"/>
        <v>155216.66666666666</v>
      </c>
      <c r="Y25" s="203">
        <f t="shared" si="19"/>
        <v>155216.66666666666</v>
      </c>
      <c r="Z25" s="203">
        <f t="shared" si="19"/>
        <v>155216.66666666666</v>
      </c>
      <c r="AA25" s="203">
        <f t="shared" si="19"/>
        <v>155216.66666666666</v>
      </c>
      <c r="AB25" s="205">
        <f>SUM(P25:AA25)</f>
        <v>1862600.0000000002</v>
      </c>
      <c r="AC25" s="203">
        <f>$F$25*$I$25/12</f>
        <v>155216.66666666666</v>
      </c>
      <c r="AD25" s="203">
        <f t="shared" ref="AD25:AN25" si="20">$F$25*$I$25/12</f>
        <v>155216.66666666666</v>
      </c>
      <c r="AE25" s="203">
        <f t="shared" si="20"/>
        <v>155216.66666666666</v>
      </c>
      <c r="AF25" s="203">
        <f t="shared" si="20"/>
        <v>155216.66666666666</v>
      </c>
      <c r="AG25" s="203">
        <f t="shared" si="20"/>
        <v>155216.66666666666</v>
      </c>
      <c r="AH25" s="203">
        <f>$F$25*$I$25/12</f>
        <v>155216.66666666666</v>
      </c>
      <c r="AI25" s="203">
        <f t="shared" si="20"/>
        <v>155216.66666666666</v>
      </c>
      <c r="AJ25" s="203">
        <f t="shared" si="20"/>
        <v>155216.66666666666</v>
      </c>
      <c r="AK25" s="203">
        <f t="shared" si="20"/>
        <v>155216.66666666666</v>
      </c>
      <c r="AL25" s="203">
        <f t="shared" si="20"/>
        <v>155216.66666666666</v>
      </c>
      <c r="AM25" s="203">
        <f t="shared" si="20"/>
        <v>155216.66666666666</v>
      </c>
      <c r="AN25" s="203">
        <f t="shared" si="20"/>
        <v>155216.66666666666</v>
      </c>
      <c r="AO25" s="199">
        <f t="shared" ref="AO25:AO45" si="21">SUM(AC25:AN25)</f>
        <v>1862600.0000000002</v>
      </c>
      <c r="AP25" s="203">
        <f>$K$25*$I$25/12</f>
        <v>155216.66666666666</v>
      </c>
      <c r="AQ25" s="203">
        <f t="shared" ref="AQ25:BA25" si="22">$F$25*$I$25/12</f>
        <v>155216.66666666666</v>
      </c>
      <c r="AR25" s="203">
        <f t="shared" si="22"/>
        <v>155216.66666666666</v>
      </c>
      <c r="AS25" s="203">
        <f t="shared" si="22"/>
        <v>155216.66666666666</v>
      </c>
      <c r="AT25" s="203">
        <f t="shared" si="22"/>
        <v>155216.66666666666</v>
      </c>
      <c r="AU25" s="203">
        <f>$F$25*$I$25/12</f>
        <v>155216.66666666666</v>
      </c>
      <c r="AV25" s="203">
        <f t="shared" si="22"/>
        <v>155216.66666666666</v>
      </c>
      <c r="AW25" s="203">
        <f t="shared" si="22"/>
        <v>155216.66666666666</v>
      </c>
      <c r="AX25" s="203">
        <f t="shared" si="22"/>
        <v>155216.66666666666</v>
      </c>
      <c r="AY25" s="203">
        <f t="shared" si="22"/>
        <v>155216.66666666666</v>
      </c>
      <c r="AZ25" s="203">
        <f t="shared" si="22"/>
        <v>155216.66666666666</v>
      </c>
      <c r="BA25" s="203">
        <f t="shared" si="22"/>
        <v>155216.66666666666</v>
      </c>
      <c r="BB25" s="199">
        <f>SUM(AP25:BA25)</f>
        <v>1862600.0000000002</v>
      </c>
      <c r="BC25" s="203">
        <f>$K$25*$I$25/12</f>
        <v>155216.66666666666</v>
      </c>
      <c r="BD25" s="203">
        <f>$K$25*$I$25/12</f>
        <v>155216.66666666666</v>
      </c>
      <c r="BE25" s="203">
        <v>155216.66666666666</v>
      </c>
      <c r="BF25" s="203">
        <v>155216.66666666666</v>
      </c>
      <c r="BG25" s="203">
        <v>155216.66666666666</v>
      </c>
      <c r="BH25" s="203"/>
      <c r="BI25" s="203"/>
      <c r="BJ25" s="203"/>
      <c r="BK25" s="203"/>
      <c r="BL25" s="203"/>
      <c r="BM25" s="203"/>
      <c r="BN25" s="203"/>
      <c r="BO25" s="199">
        <f>SUM(BC25:BN25)</f>
        <v>776083.33333333326</v>
      </c>
      <c r="BP25" s="200">
        <f>+O25+AB25+AO25+BB25+BO25</f>
        <v>7605616.666666667</v>
      </c>
      <c r="BQ25" s="200">
        <f t="shared" ref="BQ25:BQ44" si="23">+K25-BP25</f>
        <v>1707383.333333333</v>
      </c>
      <c r="BR25" s="224"/>
      <c r="BS25" s="224"/>
    </row>
    <row r="26" spans="1:142" s="195" customFormat="1" ht="24" x14ac:dyDescent="0.3">
      <c r="A26" s="187"/>
      <c r="B26" s="188" t="s">
        <v>132</v>
      </c>
      <c r="C26" s="189">
        <v>44048</v>
      </c>
      <c r="D26" s="190" t="s">
        <v>128</v>
      </c>
      <c r="E26" s="191" t="s">
        <v>136</v>
      </c>
      <c r="F26" s="192">
        <v>8753500</v>
      </c>
      <c r="G26" s="192"/>
      <c r="H26" s="193"/>
      <c r="I26" s="194">
        <v>0.2</v>
      </c>
      <c r="J26" s="192">
        <v>5</v>
      </c>
      <c r="K26" s="192">
        <f t="shared" ref="K26:K27" si="24">F26+G26+H26</f>
        <v>8753500</v>
      </c>
      <c r="L26" s="192"/>
      <c r="M26" s="192"/>
      <c r="O26" s="201">
        <f>+H26</f>
        <v>0</v>
      </c>
      <c r="P26" s="203"/>
      <c r="Q26" s="203"/>
      <c r="R26" s="203"/>
      <c r="S26" s="203"/>
      <c r="T26" s="203"/>
      <c r="U26" s="203"/>
      <c r="V26" s="203"/>
      <c r="W26" s="203">
        <f>$F$26*$I$26/12-8</f>
        <v>145883.66666666666</v>
      </c>
      <c r="X26" s="203">
        <f t="shared" ref="X26:AA26" si="25">$F$26*$I$26/12-8</f>
        <v>145883.66666666666</v>
      </c>
      <c r="Y26" s="203">
        <f t="shared" si="25"/>
        <v>145883.66666666666</v>
      </c>
      <c r="Z26" s="203">
        <f t="shared" si="25"/>
        <v>145883.66666666666</v>
      </c>
      <c r="AA26" s="203">
        <f t="shared" si="25"/>
        <v>145883.66666666666</v>
      </c>
      <c r="AB26" s="205">
        <f>SUM(P26:AA26)</f>
        <v>729418.33333333326</v>
      </c>
      <c r="AC26" s="203">
        <f t="shared" ref="AC26:AI26" si="26">$F$26*$I$26/12-8</f>
        <v>145883.66666666666</v>
      </c>
      <c r="AD26" s="203">
        <f t="shared" si="26"/>
        <v>145883.66666666666</v>
      </c>
      <c r="AE26" s="203">
        <f t="shared" si="26"/>
        <v>145883.66666666666</v>
      </c>
      <c r="AF26" s="203">
        <f t="shared" si="26"/>
        <v>145883.66666666666</v>
      </c>
      <c r="AG26" s="203">
        <f t="shared" si="26"/>
        <v>145883.66666666666</v>
      </c>
      <c r="AH26" s="203">
        <f t="shared" si="26"/>
        <v>145883.66666666666</v>
      </c>
      <c r="AI26" s="203">
        <f t="shared" si="26"/>
        <v>145883.66666666666</v>
      </c>
      <c r="AJ26" s="203">
        <f>$F$26*$I$26/12-8</f>
        <v>145883.66666666666</v>
      </c>
      <c r="AK26" s="203">
        <f t="shared" ref="AK26:AN26" si="27">$F$26*$I$26/12-8</f>
        <v>145883.66666666666</v>
      </c>
      <c r="AL26" s="203">
        <f t="shared" si="27"/>
        <v>145883.66666666666</v>
      </c>
      <c r="AM26" s="203">
        <f t="shared" si="27"/>
        <v>145883.66666666666</v>
      </c>
      <c r="AN26" s="203">
        <f t="shared" si="27"/>
        <v>145883.66666666666</v>
      </c>
      <c r="AO26" s="199">
        <f t="shared" si="21"/>
        <v>1750604.0000000002</v>
      </c>
      <c r="AP26" s="203">
        <f t="shared" ref="AP26:AV26" si="28">$F$26*$I$26/12-8</f>
        <v>145883.66666666666</v>
      </c>
      <c r="AQ26" s="203">
        <f t="shared" si="28"/>
        <v>145883.66666666666</v>
      </c>
      <c r="AR26" s="203">
        <f t="shared" si="28"/>
        <v>145883.66666666666</v>
      </c>
      <c r="AS26" s="203">
        <f t="shared" si="28"/>
        <v>145883.66666666666</v>
      </c>
      <c r="AT26" s="203">
        <f t="shared" si="28"/>
        <v>145883.66666666666</v>
      </c>
      <c r="AU26" s="203">
        <f t="shared" si="28"/>
        <v>145883.66666666666</v>
      </c>
      <c r="AV26" s="203">
        <f t="shared" si="28"/>
        <v>145883.66666666666</v>
      </c>
      <c r="AW26" s="203">
        <f>$F$26*$I$26/12-8</f>
        <v>145883.66666666666</v>
      </c>
      <c r="AX26" s="203">
        <f t="shared" ref="AX26:BA26" si="29">$F$26*$I$26/12-8</f>
        <v>145883.66666666666</v>
      </c>
      <c r="AY26" s="203">
        <f t="shared" si="29"/>
        <v>145883.66666666666</v>
      </c>
      <c r="AZ26" s="203">
        <f t="shared" si="29"/>
        <v>145883.66666666666</v>
      </c>
      <c r="BA26" s="203">
        <f t="shared" si="29"/>
        <v>145883.66666666666</v>
      </c>
      <c r="BB26" s="199">
        <f t="shared" ref="BB26:BB45" si="30">SUM(AP26:BA26)</f>
        <v>1750604.0000000002</v>
      </c>
      <c r="BC26" s="203">
        <f t="shared" ref="BC26:BD26" si="31">$F$26*$I$26/12-8</f>
        <v>145883.66666666666</v>
      </c>
      <c r="BD26" s="203">
        <f t="shared" si="31"/>
        <v>145883.66666666666</v>
      </c>
      <c r="BE26" s="203">
        <v>145883.66666666666</v>
      </c>
      <c r="BF26" s="203">
        <v>145883.66666666666</v>
      </c>
      <c r="BG26" s="203">
        <v>145883.66666666666</v>
      </c>
      <c r="BH26" s="203"/>
      <c r="BI26" s="203"/>
      <c r="BJ26" s="203"/>
      <c r="BK26" s="203"/>
      <c r="BL26" s="203"/>
      <c r="BM26" s="203"/>
      <c r="BN26" s="203"/>
      <c r="BO26" s="199">
        <f>SUM(BC26:BN26)</f>
        <v>729418.33333333326</v>
      </c>
      <c r="BP26" s="200">
        <f t="shared" ref="BP26:BP45" si="32">+O26+AB26+AO26+BB26+BO26</f>
        <v>4960044.666666667</v>
      </c>
      <c r="BQ26" s="200">
        <f t="shared" si="23"/>
        <v>3793455.333333333</v>
      </c>
      <c r="BR26" s="224"/>
      <c r="BS26" s="224"/>
    </row>
    <row r="27" spans="1:142" s="195" customFormat="1" ht="24" x14ac:dyDescent="0.3">
      <c r="A27" s="187"/>
      <c r="B27" s="188" t="s">
        <v>134</v>
      </c>
      <c r="C27" s="189">
        <v>44139</v>
      </c>
      <c r="D27" s="190" t="s">
        <v>93</v>
      </c>
      <c r="E27" s="191" t="s">
        <v>137</v>
      </c>
      <c r="F27" s="192">
        <v>3550000</v>
      </c>
      <c r="G27" s="192"/>
      <c r="H27" s="193"/>
      <c r="I27" s="194">
        <v>0.2</v>
      </c>
      <c r="J27" s="192">
        <v>5</v>
      </c>
      <c r="K27" s="192">
        <f t="shared" si="24"/>
        <v>3550000</v>
      </c>
      <c r="L27" s="192"/>
      <c r="M27" s="192"/>
      <c r="O27" s="205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>
        <f>$F$27*$I$27/12</f>
        <v>59166.666666666664</v>
      </c>
      <c r="AA27" s="203">
        <f>$F$27*$I$27/12</f>
        <v>59166.666666666664</v>
      </c>
      <c r="AB27" s="205">
        <f>SUM(P27:AA27)</f>
        <v>118333.33333333333</v>
      </c>
      <c r="AC27" s="203">
        <f t="shared" ref="AC27:AL27" si="33">$F$27*$I$27/12</f>
        <v>59166.666666666664</v>
      </c>
      <c r="AD27" s="203">
        <f t="shared" si="33"/>
        <v>59166.666666666664</v>
      </c>
      <c r="AE27" s="203">
        <f t="shared" si="33"/>
        <v>59166.666666666664</v>
      </c>
      <c r="AF27" s="203">
        <f t="shared" si="33"/>
        <v>59166.666666666664</v>
      </c>
      <c r="AG27" s="203">
        <f t="shared" si="33"/>
        <v>59166.666666666664</v>
      </c>
      <c r="AH27" s="203">
        <f t="shared" si="33"/>
        <v>59166.666666666664</v>
      </c>
      <c r="AI27" s="203">
        <f t="shared" si="33"/>
        <v>59166.666666666664</v>
      </c>
      <c r="AJ27" s="203">
        <f t="shared" si="33"/>
        <v>59166.666666666664</v>
      </c>
      <c r="AK27" s="203">
        <f t="shared" si="33"/>
        <v>59166.666666666664</v>
      </c>
      <c r="AL27" s="203">
        <f t="shared" si="33"/>
        <v>59166.666666666664</v>
      </c>
      <c r="AM27" s="203">
        <f>$F$27*$I$27/12</f>
        <v>59166.666666666664</v>
      </c>
      <c r="AN27" s="203">
        <f>$F$27*$I$27/12</f>
        <v>59166.666666666664</v>
      </c>
      <c r="AO27" s="199">
        <f t="shared" si="21"/>
        <v>709999.99999999988</v>
      </c>
      <c r="AP27" s="203">
        <f t="shared" ref="AP27:AY27" si="34">$F$27*$I$27/12</f>
        <v>59166.666666666664</v>
      </c>
      <c r="AQ27" s="203">
        <f t="shared" si="34"/>
        <v>59166.666666666664</v>
      </c>
      <c r="AR27" s="203">
        <f t="shared" si="34"/>
        <v>59166.666666666664</v>
      </c>
      <c r="AS27" s="203">
        <f t="shared" si="34"/>
        <v>59166.666666666664</v>
      </c>
      <c r="AT27" s="203">
        <f t="shared" si="34"/>
        <v>59166.666666666664</v>
      </c>
      <c r="AU27" s="203">
        <f t="shared" si="34"/>
        <v>59166.666666666664</v>
      </c>
      <c r="AV27" s="203">
        <f t="shared" si="34"/>
        <v>59166.666666666664</v>
      </c>
      <c r="AW27" s="203">
        <f t="shared" si="34"/>
        <v>59166.666666666664</v>
      </c>
      <c r="AX27" s="203">
        <f t="shared" si="34"/>
        <v>59166.666666666664</v>
      </c>
      <c r="AY27" s="203">
        <f t="shared" si="34"/>
        <v>59166.666666666664</v>
      </c>
      <c r="AZ27" s="203">
        <f>$F$27*$I$27/12</f>
        <v>59166.666666666664</v>
      </c>
      <c r="BA27" s="203">
        <f>$F$27*$I$27/12</f>
        <v>59166.666666666664</v>
      </c>
      <c r="BB27" s="199">
        <f t="shared" si="30"/>
        <v>709999.99999999988</v>
      </c>
      <c r="BC27" s="203">
        <f t="shared" ref="BC27:BD27" si="35">$F$27*$I$27/12</f>
        <v>59166.666666666664</v>
      </c>
      <c r="BD27" s="203">
        <f t="shared" si="35"/>
        <v>59166.666666666664</v>
      </c>
      <c r="BE27" s="203">
        <v>59166.666666666664</v>
      </c>
      <c r="BF27" s="203">
        <v>59166.666666666664</v>
      </c>
      <c r="BG27" s="203">
        <v>59166.666666666664</v>
      </c>
      <c r="BH27" s="203"/>
      <c r="BI27" s="203"/>
      <c r="BJ27" s="203"/>
      <c r="BK27" s="203"/>
      <c r="BL27" s="203"/>
      <c r="BM27" s="203"/>
      <c r="BN27" s="203"/>
      <c r="BO27" s="199">
        <f>SUM(BC27:BN27)</f>
        <v>295833.33333333331</v>
      </c>
      <c r="BP27" s="200">
        <f t="shared" si="32"/>
        <v>1834166.6666666663</v>
      </c>
      <c r="BQ27" s="200">
        <f t="shared" si="23"/>
        <v>1715833.3333333337</v>
      </c>
      <c r="BR27" s="224"/>
      <c r="BS27" s="224"/>
    </row>
    <row r="28" spans="1:142" s="195" customFormat="1" ht="24" x14ac:dyDescent="0.3">
      <c r="A28" s="187"/>
      <c r="B28" s="188" t="s">
        <v>139</v>
      </c>
      <c r="C28" s="189">
        <v>44254</v>
      </c>
      <c r="D28" s="190" t="s">
        <v>89</v>
      </c>
      <c r="E28" s="191" t="s">
        <v>141</v>
      </c>
      <c r="F28" s="192">
        <f>3800000/1.19</f>
        <v>3193277.3109243698</v>
      </c>
      <c r="G28" s="192">
        <f>F28*19%</f>
        <v>606722.68907563027</v>
      </c>
      <c r="H28" s="193"/>
      <c r="I28" s="194">
        <v>0.2</v>
      </c>
      <c r="J28" s="192">
        <v>5</v>
      </c>
      <c r="K28" s="192">
        <f>F28+G28+H28</f>
        <v>3800000</v>
      </c>
      <c r="L28" s="192"/>
      <c r="M28" s="192">
        <v>0</v>
      </c>
      <c r="O28" s="205">
        <v>0</v>
      </c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5">
        <f>SUM(P28:AA28)+O28</f>
        <v>0</v>
      </c>
      <c r="AC28" s="203"/>
      <c r="AD28" s="203"/>
      <c r="AE28" s="203">
        <f>$K$28*$I$28/12</f>
        <v>63333.333333333336</v>
      </c>
      <c r="AF28" s="203">
        <f t="shared" ref="AF28:AN28" si="36">$K$28*$I$28/12</f>
        <v>63333.333333333336</v>
      </c>
      <c r="AG28" s="203">
        <f t="shared" si="36"/>
        <v>63333.333333333336</v>
      </c>
      <c r="AH28" s="203">
        <f t="shared" si="36"/>
        <v>63333.333333333336</v>
      </c>
      <c r="AI28" s="203">
        <f t="shared" si="36"/>
        <v>63333.333333333336</v>
      </c>
      <c r="AJ28" s="203">
        <f t="shared" si="36"/>
        <v>63333.333333333336</v>
      </c>
      <c r="AK28" s="203">
        <f t="shared" si="36"/>
        <v>63333.333333333336</v>
      </c>
      <c r="AL28" s="203">
        <f t="shared" si="36"/>
        <v>63333.333333333336</v>
      </c>
      <c r="AM28" s="203">
        <f t="shared" si="36"/>
        <v>63333.333333333336</v>
      </c>
      <c r="AN28" s="203">
        <f t="shared" si="36"/>
        <v>63333.333333333336</v>
      </c>
      <c r="AO28" s="199">
        <f t="shared" si="21"/>
        <v>633333.33333333337</v>
      </c>
      <c r="AP28" s="203">
        <f>$K$28*$I$28/12</f>
        <v>63333.333333333336</v>
      </c>
      <c r="AQ28" s="203">
        <f t="shared" ref="AQ28:BA28" si="37">$K$28*$I$28/12</f>
        <v>63333.333333333336</v>
      </c>
      <c r="AR28" s="203">
        <f t="shared" si="37"/>
        <v>63333.333333333336</v>
      </c>
      <c r="AS28" s="203">
        <f t="shared" si="37"/>
        <v>63333.333333333336</v>
      </c>
      <c r="AT28" s="203">
        <f t="shared" si="37"/>
        <v>63333.333333333336</v>
      </c>
      <c r="AU28" s="203">
        <f t="shared" si="37"/>
        <v>63333.333333333336</v>
      </c>
      <c r="AV28" s="203">
        <f t="shared" si="37"/>
        <v>63333.333333333336</v>
      </c>
      <c r="AW28" s="203">
        <f t="shared" si="37"/>
        <v>63333.333333333336</v>
      </c>
      <c r="AX28" s="203">
        <f t="shared" si="37"/>
        <v>63333.333333333336</v>
      </c>
      <c r="AY28" s="203">
        <f t="shared" si="37"/>
        <v>63333.333333333336</v>
      </c>
      <c r="AZ28" s="203">
        <f t="shared" si="37"/>
        <v>63333.333333333336</v>
      </c>
      <c r="BA28" s="203">
        <f t="shared" si="37"/>
        <v>63333.333333333336</v>
      </c>
      <c r="BB28" s="199">
        <f t="shared" si="30"/>
        <v>760000.00000000012</v>
      </c>
      <c r="BC28" s="203">
        <f>$K$28*$I$28/12</f>
        <v>63333.333333333336</v>
      </c>
      <c r="BD28" s="203">
        <f>$K$28*$I$28/12</f>
        <v>63333.333333333336</v>
      </c>
      <c r="BE28" s="203">
        <v>63333.333333333336</v>
      </c>
      <c r="BF28" s="203">
        <v>63333.333333333336</v>
      </c>
      <c r="BG28" s="203">
        <v>63333.333333333336</v>
      </c>
      <c r="BH28" s="203"/>
      <c r="BI28" s="203"/>
      <c r="BJ28" s="203"/>
      <c r="BK28" s="203"/>
      <c r="BL28" s="203"/>
      <c r="BM28" s="203"/>
      <c r="BN28" s="203"/>
      <c r="BO28" s="199">
        <f>SUM(BC28:BN28)</f>
        <v>316666.66666666669</v>
      </c>
      <c r="BP28" s="200">
        <f t="shared" si="32"/>
        <v>1710000.0000000002</v>
      </c>
      <c r="BQ28" s="200">
        <f t="shared" si="23"/>
        <v>2089999.9999999998</v>
      </c>
      <c r="BR28" s="224"/>
      <c r="BS28" s="224"/>
    </row>
    <row r="29" spans="1:142" s="195" customFormat="1" ht="24" hidden="1" x14ac:dyDescent="0.3">
      <c r="A29" s="187"/>
      <c r="B29" s="188" t="s">
        <v>140</v>
      </c>
      <c r="C29" s="189">
        <v>44254</v>
      </c>
      <c r="D29" s="190"/>
      <c r="E29" s="191" t="s">
        <v>141</v>
      </c>
      <c r="F29" s="192">
        <v>1780000</v>
      </c>
      <c r="G29" s="192"/>
      <c r="H29" s="193"/>
      <c r="I29" s="194">
        <v>1</v>
      </c>
      <c r="J29" s="192">
        <v>1</v>
      </c>
      <c r="K29" s="192">
        <f t="shared" ref="K29:K41" si="38">F29+G29+H29</f>
        <v>1780000</v>
      </c>
      <c r="L29" s="192" t="s">
        <v>143</v>
      </c>
      <c r="M29" s="192"/>
      <c r="O29" s="205">
        <v>0</v>
      </c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5"/>
      <c r="AC29" s="203"/>
      <c r="AD29" s="203"/>
      <c r="AE29" s="203">
        <f>+K29</f>
        <v>1780000</v>
      </c>
      <c r="AF29" s="203"/>
      <c r="AG29" s="203"/>
      <c r="AH29" s="203"/>
      <c r="AI29" s="203"/>
      <c r="AJ29" s="203"/>
      <c r="AK29" s="203"/>
      <c r="AL29" s="203"/>
      <c r="AM29" s="203"/>
      <c r="AN29" s="203"/>
      <c r="AO29" s="199">
        <f t="shared" si="21"/>
        <v>1780000</v>
      </c>
      <c r="AP29" s="203"/>
      <c r="AQ29" s="203"/>
      <c r="AR29" s="203">
        <v>0</v>
      </c>
      <c r="AS29" s="203"/>
      <c r="AT29" s="203"/>
      <c r="AU29" s="203"/>
      <c r="AV29" s="203"/>
      <c r="AW29" s="203"/>
      <c r="AX29" s="203"/>
      <c r="AY29" s="203"/>
      <c r="AZ29" s="203"/>
      <c r="BA29" s="203"/>
      <c r="BB29" s="199">
        <f t="shared" si="30"/>
        <v>0</v>
      </c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199">
        <f t="shared" ref="BO29:BO49" si="39">SUM(BC29:BN29)</f>
        <v>0</v>
      </c>
      <c r="BP29" s="200">
        <f t="shared" si="32"/>
        <v>1780000</v>
      </c>
      <c r="BQ29" s="200">
        <f>+K29-BP29</f>
        <v>0</v>
      </c>
    </row>
    <row r="30" spans="1:142" s="195" customFormat="1" hidden="1" x14ac:dyDescent="0.3">
      <c r="A30" s="187"/>
      <c r="B30" s="188" t="s">
        <v>142</v>
      </c>
      <c r="C30" s="189">
        <v>44254</v>
      </c>
      <c r="D30" s="190"/>
      <c r="E30" s="191" t="s">
        <v>141</v>
      </c>
      <c r="F30" s="192">
        <f>(200000+378000+200000)/1.19</f>
        <v>653781.51260504208</v>
      </c>
      <c r="G30" s="192">
        <f>F30*19%</f>
        <v>124218.48739495799</v>
      </c>
      <c r="H30" s="193"/>
      <c r="I30" s="194">
        <v>1</v>
      </c>
      <c r="J30" s="192">
        <v>1</v>
      </c>
      <c r="K30" s="192">
        <f t="shared" si="38"/>
        <v>778000.00000000012</v>
      </c>
      <c r="L30" s="192" t="s">
        <v>143</v>
      </c>
      <c r="M30" s="192"/>
      <c r="O30" s="205">
        <v>0</v>
      </c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5"/>
      <c r="AC30" s="203"/>
      <c r="AD30" s="203"/>
      <c r="AE30" s="203">
        <f>+K30</f>
        <v>778000.00000000012</v>
      </c>
      <c r="AF30" s="203"/>
      <c r="AG30" s="203"/>
      <c r="AH30" s="203"/>
      <c r="AI30" s="203"/>
      <c r="AJ30" s="203"/>
      <c r="AK30" s="203"/>
      <c r="AL30" s="203"/>
      <c r="AM30" s="203"/>
      <c r="AN30" s="203"/>
      <c r="AO30" s="199">
        <f t="shared" si="21"/>
        <v>778000.00000000012</v>
      </c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199">
        <f t="shared" si="30"/>
        <v>0</v>
      </c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199">
        <f t="shared" si="39"/>
        <v>0</v>
      </c>
      <c r="BP30" s="200">
        <f t="shared" si="32"/>
        <v>778000.00000000012</v>
      </c>
      <c r="BQ30" s="200">
        <f>+K30-BP30</f>
        <v>0</v>
      </c>
    </row>
    <row r="31" spans="1:142" s="195" customFormat="1" x14ac:dyDescent="0.3">
      <c r="A31" s="187"/>
      <c r="B31" s="188" t="s">
        <v>96</v>
      </c>
      <c r="C31" s="189">
        <v>44311</v>
      </c>
      <c r="D31" s="190" t="s">
        <v>93</v>
      </c>
      <c r="E31" s="191"/>
      <c r="F31" s="192">
        <v>3899900</v>
      </c>
      <c r="G31" s="192">
        <v>0</v>
      </c>
      <c r="H31" s="193"/>
      <c r="I31" s="194">
        <v>0.2</v>
      </c>
      <c r="J31" s="192">
        <v>5</v>
      </c>
      <c r="K31" s="192">
        <f t="shared" si="38"/>
        <v>3899900</v>
      </c>
      <c r="L31" s="192"/>
      <c r="M31" s="192"/>
      <c r="O31" s="205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5">
        <f>SUM(P31:AA31)+O31</f>
        <v>0</v>
      </c>
      <c r="AC31" s="203"/>
      <c r="AD31" s="203"/>
      <c r="AE31" s="203"/>
      <c r="AF31" s="203"/>
      <c r="AG31" s="203">
        <f>$K$31*$I$31/12</f>
        <v>64998.333333333336</v>
      </c>
      <c r="AH31" s="203">
        <f>$K$31*$I$31/12</f>
        <v>64998.333333333336</v>
      </c>
      <c r="AI31" s="203">
        <f t="shared" ref="AI31:AN31" si="40">$K$31*$I$31/12</f>
        <v>64998.333333333336</v>
      </c>
      <c r="AJ31" s="203">
        <f t="shared" si="40"/>
        <v>64998.333333333336</v>
      </c>
      <c r="AK31" s="203">
        <f t="shared" si="40"/>
        <v>64998.333333333336</v>
      </c>
      <c r="AL31" s="203">
        <f t="shared" si="40"/>
        <v>64998.333333333336</v>
      </c>
      <c r="AM31" s="203">
        <f t="shared" si="40"/>
        <v>64998.333333333336</v>
      </c>
      <c r="AN31" s="203">
        <f t="shared" si="40"/>
        <v>64998.333333333336</v>
      </c>
      <c r="AO31" s="199">
        <f t="shared" si="21"/>
        <v>519986.66666666663</v>
      </c>
      <c r="AP31" s="203">
        <f>$K$31*$I$31/12</f>
        <v>64998.333333333336</v>
      </c>
      <c r="AQ31" s="203">
        <f t="shared" ref="AQ31:BA31" si="41">$K$31*$I$31/12</f>
        <v>64998.333333333336</v>
      </c>
      <c r="AR31" s="203">
        <f t="shared" si="41"/>
        <v>64998.333333333336</v>
      </c>
      <c r="AS31" s="203">
        <f t="shared" si="41"/>
        <v>64998.333333333336</v>
      </c>
      <c r="AT31" s="203">
        <f t="shared" si="41"/>
        <v>64998.333333333336</v>
      </c>
      <c r="AU31" s="203">
        <f t="shared" si="41"/>
        <v>64998.333333333336</v>
      </c>
      <c r="AV31" s="203">
        <f t="shared" si="41"/>
        <v>64998.333333333336</v>
      </c>
      <c r="AW31" s="203">
        <f t="shared" si="41"/>
        <v>64998.333333333336</v>
      </c>
      <c r="AX31" s="203">
        <f t="shared" si="41"/>
        <v>64998.333333333336</v>
      </c>
      <c r="AY31" s="203">
        <f t="shared" si="41"/>
        <v>64998.333333333336</v>
      </c>
      <c r="AZ31" s="203">
        <f t="shared" si="41"/>
        <v>64998.333333333336</v>
      </c>
      <c r="BA31" s="203">
        <f t="shared" si="41"/>
        <v>64998.333333333336</v>
      </c>
      <c r="BB31" s="199">
        <f t="shared" si="30"/>
        <v>779980.00000000012</v>
      </c>
      <c r="BC31" s="203">
        <f>$K$31*$I$31/12</f>
        <v>64998.333333333336</v>
      </c>
      <c r="BD31" s="203">
        <f>$K$28*$I$28/12</f>
        <v>63333.333333333336</v>
      </c>
      <c r="BE31" s="203">
        <v>63333.333333333336</v>
      </c>
      <c r="BF31" s="203">
        <v>63333.333333333336</v>
      </c>
      <c r="BG31" s="203">
        <v>63333.333333333336</v>
      </c>
      <c r="BH31" s="203"/>
      <c r="BI31" s="203"/>
      <c r="BJ31" s="203"/>
      <c r="BK31" s="203"/>
      <c r="BL31" s="203"/>
      <c r="BM31" s="203"/>
      <c r="BN31" s="203"/>
      <c r="BO31" s="199">
        <f>SUM(BC31:BN31)</f>
        <v>318331.66666666669</v>
      </c>
      <c r="BP31" s="200">
        <f t="shared" si="32"/>
        <v>1618298.3333333335</v>
      </c>
      <c r="BQ31" s="200">
        <f t="shared" si="23"/>
        <v>2281601.6666666665</v>
      </c>
      <c r="BR31" s="224"/>
      <c r="BS31" s="224"/>
    </row>
    <row r="32" spans="1:142" s="195" customFormat="1" x14ac:dyDescent="0.3">
      <c r="A32" s="187"/>
      <c r="B32" s="188" t="s">
        <v>100</v>
      </c>
      <c r="C32" s="189">
        <v>44335</v>
      </c>
      <c r="D32" s="190" t="s">
        <v>112</v>
      </c>
      <c r="E32" s="191"/>
      <c r="F32" s="192">
        <v>4579831</v>
      </c>
      <c r="G32" s="192">
        <v>870168</v>
      </c>
      <c r="H32" s="193"/>
      <c r="I32" s="194">
        <v>0.2</v>
      </c>
      <c r="J32" s="192">
        <v>5</v>
      </c>
      <c r="K32" s="192">
        <f t="shared" si="38"/>
        <v>5449999</v>
      </c>
      <c r="L32" s="192"/>
      <c r="M32" s="192"/>
      <c r="O32" s="205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5">
        <f>SUM(P32:AA32)+O32</f>
        <v>0</v>
      </c>
      <c r="AC32" s="203"/>
      <c r="AD32" s="203"/>
      <c r="AE32" s="203"/>
      <c r="AF32" s="203"/>
      <c r="AG32" s="203"/>
      <c r="AH32" s="203">
        <f>$K$32*$I$32/12</f>
        <v>90833.316666666666</v>
      </c>
      <c r="AI32" s="203">
        <f t="shared" ref="AI32:AN32" si="42">$K$32*$I$32/12</f>
        <v>90833.316666666666</v>
      </c>
      <c r="AJ32" s="203">
        <f t="shared" si="42"/>
        <v>90833.316666666666</v>
      </c>
      <c r="AK32" s="203">
        <f t="shared" si="42"/>
        <v>90833.316666666666</v>
      </c>
      <c r="AL32" s="203">
        <f t="shared" si="42"/>
        <v>90833.316666666666</v>
      </c>
      <c r="AM32" s="203">
        <f t="shared" si="42"/>
        <v>90833.316666666666</v>
      </c>
      <c r="AN32" s="203">
        <f t="shared" si="42"/>
        <v>90833.316666666666</v>
      </c>
      <c r="AO32" s="199">
        <f t="shared" si="21"/>
        <v>635833.21666666667</v>
      </c>
      <c r="AP32" s="203">
        <f>$K$32*$I$32/12</f>
        <v>90833.316666666666</v>
      </c>
      <c r="AQ32" s="203">
        <f t="shared" ref="AQ32:AU32" si="43">$K$32*$I$32/12</f>
        <v>90833.316666666666</v>
      </c>
      <c r="AR32" s="203">
        <f t="shared" si="43"/>
        <v>90833.316666666666</v>
      </c>
      <c r="AS32" s="203">
        <f t="shared" si="43"/>
        <v>90833.316666666666</v>
      </c>
      <c r="AT32" s="203">
        <f t="shared" si="43"/>
        <v>90833.316666666666</v>
      </c>
      <c r="AU32" s="203">
        <f t="shared" si="43"/>
        <v>90833.316666666666</v>
      </c>
      <c r="AV32" s="203">
        <f t="shared" ref="AV32:BA32" si="44">$K$32*$I$32/12</f>
        <v>90833.316666666666</v>
      </c>
      <c r="AW32" s="203">
        <f t="shared" si="44"/>
        <v>90833.316666666666</v>
      </c>
      <c r="AX32" s="203">
        <f t="shared" si="44"/>
        <v>90833.316666666666</v>
      </c>
      <c r="AY32" s="203">
        <f t="shared" si="44"/>
        <v>90833.316666666666</v>
      </c>
      <c r="AZ32" s="203">
        <f t="shared" si="44"/>
        <v>90833.316666666666</v>
      </c>
      <c r="BA32" s="203">
        <f t="shared" si="44"/>
        <v>90833.316666666666</v>
      </c>
      <c r="BB32" s="199">
        <f t="shared" si="30"/>
        <v>1089999.8</v>
      </c>
      <c r="BC32" s="203">
        <f>$K$32*$I$32/12</f>
        <v>90833.316666666666</v>
      </c>
      <c r="BD32" s="203">
        <f>$K$28*$I$28/12</f>
        <v>63333.333333333336</v>
      </c>
      <c r="BE32" s="203">
        <f>$K$28*$I$28/12</f>
        <v>63333.333333333336</v>
      </c>
      <c r="BF32" s="203">
        <f>$K$28*$I$28/12</f>
        <v>63333.333333333336</v>
      </c>
      <c r="BG32" s="203">
        <f>$K$28*$I$28/12</f>
        <v>63333.333333333336</v>
      </c>
      <c r="BH32" s="203"/>
      <c r="BI32" s="203"/>
      <c r="BJ32" s="203"/>
      <c r="BK32" s="203"/>
      <c r="BL32" s="203"/>
      <c r="BM32" s="203"/>
      <c r="BN32" s="203"/>
      <c r="BO32" s="199">
        <f t="shared" si="39"/>
        <v>344166.64999999997</v>
      </c>
      <c r="BP32" s="200">
        <f t="shared" si="32"/>
        <v>2069999.6666666665</v>
      </c>
      <c r="BQ32" s="200">
        <f t="shared" si="23"/>
        <v>3379999.3333333335</v>
      </c>
      <c r="BR32" s="224"/>
      <c r="BS32" s="224"/>
    </row>
    <row r="33" spans="1:72" s="195" customFormat="1" ht="24" x14ac:dyDescent="0.3">
      <c r="A33" s="187"/>
      <c r="B33" s="188" t="s">
        <v>104</v>
      </c>
      <c r="C33" s="189">
        <v>44342</v>
      </c>
      <c r="D33" s="190" t="s">
        <v>102</v>
      </c>
      <c r="E33" s="191"/>
      <c r="F33" s="192">
        <v>1932520</v>
      </c>
      <c r="G33" s="192">
        <v>0</v>
      </c>
      <c r="H33" s="193"/>
      <c r="I33" s="194">
        <v>0.2</v>
      </c>
      <c r="J33" s="192">
        <v>5</v>
      </c>
      <c r="K33" s="192">
        <f t="shared" si="38"/>
        <v>1932520</v>
      </c>
      <c r="L33" s="192"/>
      <c r="M33" s="192"/>
      <c r="O33" s="205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5">
        <f>SUM(P33:AA33)+O33</f>
        <v>0</v>
      </c>
      <c r="AC33" s="203"/>
      <c r="AD33" s="203"/>
      <c r="AE33" s="203"/>
      <c r="AF33" s="203"/>
      <c r="AG33" s="203"/>
      <c r="AH33" s="203">
        <f t="shared" ref="AH33:AN33" si="45">$K$33*$I$33/12</f>
        <v>32208.666666666668</v>
      </c>
      <c r="AI33" s="203">
        <f t="shared" si="45"/>
        <v>32208.666666666668</v>
      </c>
      <c r="AJ33" s="203">
        <f t="shared" si="45"/>
        <v>32208.666666666668</v>
      </c>
      <c r="AK33" s="203">
        <f t="shared" si="45"/>
        <v>32208.666666666668</v>
      </c>
      <c r="AL33" s="203">
        <f t="shared" si="45"/>
        <v>32208.666666666668</v>
      </c>
      <c r="AM33" s="203">
        <f t="shared" si="45"/>
        <v>32208.666666666668</v>
      </c>
      <c r="AN33" s="203">
        <f t="shared" si="45"/>
        <v>32208.666666666668</v>
      </c>
      <c r="AO33" s="199">
        <f t="shared" si="21"/>
        <v>225460.66666666666</v>
      </c>
      <c r="AP33" s="203">
        <f t="shared" ref="AP33:AT33" si="46">$K$33*$I$33/12</f>
        <v>32208.666666666668</v>
      </c>
      <c r="AQ33" s="203">
        <f t="shared" si="46"/>
        <v>32208.666666666668</v>
      </c>
      <c r="AR33" s="203">
        <f t="shared" si="46"/>
        <v>32208.666666666668</v>
      </c>
      <c r="AS33" s="203">
        <f t="shared" si="46"/>
        <v>32208.666666666668</v>
      </c>
      <c r="AT33" s="203">
        <f t="shared" si="46"/>
        <v>32208.666666666668</v>
      </c>
      <c r="AU33" s="203">
        <f t="shared" ref="AU33:BA33" si="47">$K$33*$I$33/12</f>
        <v>32208.666666666668</v>
      </c>
      <c r="AV33" s="203">
        <f t="shared" si="47"/>
        <v>32208.666666666668</v>
      </c>
      <c r="AW33" s="203">
        <f t="shared" si="47"/>
        <v>32208.666666666668</v>
      </c>
      <c r="AX33" s="203">
        <f t="shared" si="47"/>
        <v>32208.666666666668</v>
      </c>
      <c r="AY33" s="203">
        <f t="shared" si="47"/>
        <v>32208.666666666668</v>
      </c>
      <c r="AZ33" s="203">
        <f t="shared" si="47"/>
        <v>32208.666666666668</v>
      </c>
      <c r="BA33" s="203">
        <f t="shared" si="47"/>
        <v>32208.666666666668</v>
      </c>
      <c r="BB33" s="199">
        <f t="shared" si="30"/>
        <v>386504.00000000006</v>
      </c>
      <c r="BC33" s="203">
        <f t="shared" ref="BC33" si="48">$K$33*$I$33/12</f>
        <v>32208.666666666668</v>
      </c>
      <c r="BD33" s="203">
        <f>$K$28*$I$28/12</f>
        <v>63333.333333333336</v>
      </c>
      <c r="BE33" s="203">
        <v>63333.333333333336</v>
      </c>
      <c r="BF33" s="203">
        <v>63333.333333333336</v>
      </c>
      <c r="BG33" s="203">
        <v>63333.333333333336</v>
      </c>
      <c r="BH33" s="203"/>
      <c r="BI33" s="203"/>
      <c r="BJ33" s="203"/>
      <c r="BK33" s="203"/>
      <c r="BL33" s="203"/>
      <c r="BM33" s="203"/>
      <c r="BN33" s="203"/>
      <c r="BO33" s="199">
        <f>SUM(BC33:BN33)</f>
        <v>285542</v>
      </c>
      <c r="BP33" s="200">
        <f t="shared" si="32"/>
        <v>897506.66666666674</v>
      </c>
      <c r="BQ33" s="200">
        <f t="shared" si="23"/>
        <v>1035013.3333333333</v>
      </c>
      <c r="BR33" s="224"/>
      <c r="BS33" s="224"/>
    </row>
    <row r="34" spans="1:72" s="195" customFormat="1" hidden="1" x14ac:dyDescent="0.3">
      <c r="A34" s="187"/>
      <c r="B34" s="188" t="s">
        <v>110</v>
      </c>
      <c r="C34" s="189">
        <v>44233</v>
      </c>
      <c r="D34" s="190" t="s">
        <v>108</v>
      </c>
      <c r="E34" s="191" t="s">
        <v>117</v>
      </c>
      <c r="F34" s="192">
        <v>797900</v>
      </c>
      <c r="G34" s="192">
        <v>0</v>
      </c>
      <c r="H34" s="193"/>
      <c r="I34" s="194">
        <v>1</v>
      </c>
      <c r="J34" s="192">
        <v>1</v>
      </c>
      <c r="K34" s="192">
        <f t="shared" si="38"/>
        <v>797900</v>
      </c>
      <c r="L34" s="192" t="s">
        <v>113</v>
      </c>
      <c r="M34" s="192"/>
      <c r="O34" s="205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5">
        <f>SUM(P34:AA34)+O34</f>
        <v>0</v>
      </c>
      <c r="AC34" s="203"/>
      <c r="AD34" s="203">
        <f>+K34</f>
        <v>797900</v>
      </c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199">
        <f t="shared" si="21"/>
        <v>797900</v>
      </c>
      <c r="AP34" s="203"/>
      <c r="AQ34" s="203">
        <f>+X34</f>
        <v>0</v>
      </c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199">
        <f t="shared" si="30"/>
        <v>0</v>
      </c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199">
        <f t="shared" si="39"/>
        <v>0</v>
      </c>
      <c r="BP34" s="200">
        <f t="shared" si="32"/>
        <v>797900</v>
      </c>
      <c r="BQ34" s="200">
        <f t="shared" si="23"/>
        <v>0</v>
      </c>
    </row>
    <row r="35" spans="1:72" s="195" customFormat="1" x14ac:dyDescent="0.3">
      <c r="A35" s="187"/>
      <c r="B35" s="188" t="s">
        <v>148</v>
      </c>
      <c r="C35" s="189">
        <v>44679</v>
      </c>
      <c r="D35" s="190" t="s">
        <v>163</v>
      </c>
      <c r="E35" s="191"/>
      <c r="F35" s="192">
        <v>4453781</v>
      </c>
      <c r="G35" s="192">
        <v>846218</v>
      </c>
      <c r="H35" s="193"/>
      <c r="I35" s="194">
        <v>0.2</v>
      </c>
      <c r="J35" s="192"/>
      <c r="K35" s="192">
        <f>F35+G35+H35</f>
        <v>5299999</v>
      </c>
      <c r="L35" s="192"/>
      <c r="M35" s="192"/>
      <c r="O35" s="205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5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199">
        <f t="shared" si="21"/>
        <v>0</v>
      </c>
      <c r="AP35" s="203"/>
      <c r="AQ35" s="203"/>
      <c r="AR35" s="203"/>
      <c r="AS35" s="203">
        <v>5889</v>
      </c>
      <c r="AT35" s="203">
        <f t="shared" ref="AT35:BC35" si="49">$K$35*$I$35/12</f>
        <v>88333.316666666666</v>
      </c>
      <c r="AU35" s="203">
        <f t="shared" si="49"/>
        <v>88333.316666666666</v>
      </c>
      <c r="AV35" s="203">
        <f t="shared" si="49"/>
        <v>88333.316666666666</v>
      </c>
      <c r="AW35" s="203">
        <f t="shared" si="49"/>
        <v>88333.316666666666</v>
      </c>
      <c r="AX35" s="203">
        <f t="shared" si="49"/>
        <v>88333.316666666666</v>
      </c>
      <c r="AY35" s="203">
        <f t="shared" si="49"/>
        <v>88333.316666666666</v>
      </c>
      <c r="AZ35" s="203">
        <f t="shared" si="49"/>
        <v>88333.316666666666</v>
      </c>
      <c r="BA35" s="203">
        <f t="shared" si="49"/>
        <v>88333.316666666666</v>
      </c>
      <c r="BB35" s="199">
        <f>SUM(AP35:BA35)</f>
        <v>712555.53333333333</v>
      </c>
      <c r="BC35" s="203">
        <f t="shared" si="49"/>
        <v>88333.316666666666</v>
      </c>
      <c r="BD35" s="203">
        <v>88333.316666666666</v>
      </c>
      <c r="BE35" s="203">
        <v>88333.316666666666</v>
      </c>
      <c r="BF35" s="203">
        <v>88333.316666666666</v>
      </c>
      <c r="BG35" s="203">
        <v>88333.316666666666</v>
      </c>
      <c r="BH35" s="203"/>
      <c r="BI35" s="203"/>
      <c r="BJ35" s="203"/>
      <c r="BK35" s="203"/>
      <c r="BL35" s="203"/>
      <c r="BM35" s="203"/>
      <c r="BN35" s="203"/>
      <c r="BO35" s="199">
        <f t="shared" si="39"/>
        <v>441666.58333333331</v>
      </c>
      <c r="BP35" s="200">
        <f t="shared" si="32"/>
        <v>1154222.1166666667</v>
      </c>
      <c r="BQ35" s="200">
        <f t="shared" si="23"/>
        <v>4145776.8833333333</v>
      </c>
      <c r="BR35" s="224"/>
      <c r="BS35" s="224"/>
    </row>
    <row r="36" spans="1:72" s="195" customFormat="1" x14ac:dyDescent="0.3">
      <c r="A36" s="187"/>
      <c r="B36" s="188" t="s">
        <v>149</v>
      </c>
      <c r="C36" s="189">
        <v>44687</v>
      </c>
      <c r="D36" s="190"/>
      <c r="E36" s="191"/>
      <c r="F36" s="192">
        <v>5268908</v>
      </c>
      <c r="G36" s="192">
        <v>1001092</v>
      </c>
      <c r="H36" s="193"/>
      <c r="I36" s="194">
        <v>0.2</v>
      </c>
      <c r="J36" s="192"/>
      <c r="K36" s="192">
        <f t="shared" si="38"/>
        <v>6270000</v>
      </c>
      <c r="L36" s="192"/>
      <c r="M36" s="192"/>
      <c r="O36" s="205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5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199">
        <f t="shared" si="21"/>
        <v>0</v>
      </c>
      <c r="AP36" s="203"/>
      <c r="AQ36" s="203"/>
      <c r="AR36" s="203"/>
      <c r="AS36" s="203"/>
      <c r="AT36" s="203">
        <f t="shared" ref="AT36:BG36" si="50">$K$36*$I$36/12</f>
        <v>104500</v>
      </c>
      <c r="AU36" s="203">
        <f t="shared" si="50"/>
        <v>104500</v>
      </c>
      <c r="AV36" s="203">
        <f t="shared" si="50"/>
        <v>104500</v>
      </c>
      <c r="AW36" s="203">
        <f t="shared" si="50"/>
        <v>104500</v>
      </c>
      <c r="AX36" s="203">
        <f t="shared" si="50"/>
        <v>104500</v>
      </c>
      <c r="AY36" s="203">
        <f t="shared" si="50"/>
        <v>104500</v>
      </c>
      <c r="AZ36" s="203">
        <f t="shared" si="50"/>
        <v>104500</v>
      </c>
      <c r="BA36" s="203">
        <f t="shared" si="50"/>
        <v>104500</v>
      </c>
      <c r="BB36" s="199">
        <f t="shared" si="30"/>
        <v>836000</v>
      </c>
      <c r="BC36" s="203">
        <f t="shared" si="50"/>
        <v>104500</v>
      </c>
      <c r="BD36" s="203">
        <f t="shared" si="50"/>
        <v>104500</v>
      </c>
      <c r="BE36" s="203">
        <f t="shared" si="50"/>
        <v>104500</v>
      </c>
      <c r="BF36" s="203">
        <f t="shared" si="50"/>
        <v>104500</v>
      </c>
      <c r="BG36" s="203">
        <f t="shared" si="50"/>
        <v>104500</v>
      </c>
      <c r="BH36" s="203"/>
      <c r="BI36" s="203"/>
      <c r="BJ36" s="203"/>
      <c r="BK36" s="203"/>
      <c r="BL36" s="203"/>
      <c r="BM36" s="203"/>
      <c r="BN36" s="203"/>
      <c r="BO36" s="199">
        <f t="shared" si="39"/>
        <v>522500</v>
      </c>
      <c r="BP36" s="200">
        <f t="shared" si="32"/>
        <v>1358500</v>
      </c>
      <c r="BQ36" s="200">
        <f t="shared" si="23"/>
        <v>4911500</v>
      </c>
      <c r="BR36" s="224"/>
      <c r="BS36" s="224"/>
    </row>
    <row r="37" spans="1:72" s="195" customFormat="1" x14ac:dyDescent="0.3">
      <c r="A37" s="187"/>
      <c r="B37" s="188" t="s">
        <v>150</v>
      </c>
      <c r="C37" s="189">
        <v>44323</v>
      </c>
      <c r="D37" s="190"/>
      <c r="E37" s="191"/>
      <c r="F37" s="192">
        <v>4178419</v>
      </c>
      <c r="G37" s="192"/>
      <c r="H37" s="193"/>
      <c r="I37" s="194">
        <v>0.2</v>
      </c>
      <c r="J37" s="192"/>
      <c r="K37" s="192">
        <f t="shared" si="38"/>
        <v>4178419</v>
      </c>
      <c r="L37" s="192"/>
      <c r="M37" s="192"/>
      <c r="O37" s="205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5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199">
        <f t="shared" si="21"/>
        <v>0</v>
      </c>
      <c r="AP37" s="203">
        <f>$K$37*$I$37/12</f>
        <v>69640.316666666666</v>
      </c>
      <c r="AQ37" s="203">
        <f t="shared" ref="AQ37:BA37" si="51">$K$37*$I$37/12</f>
        <v>69640.316666666666</v>
      </c>
      <c r="AR37" s="203">
        <f t="shared" si="51"/>
        <v>69640.316666666666</v>
      </c>
      <c r="AS37" s="203">
        <f t="shared" si="51"/>
        <v>69640.316666666666</v>
      </c>
      <c r="AT37" s="203">
        <f t="shared" si="51"/>
        <v>69640.316666666666</v>
      </c>
      <c r="AU37" s="203">
        <f t="shared" si="51"/>
        <v>69640.316666666666</v>
      </c>
      <c r="AV37" s="203">
        <f t="shared" si="51"/>
        <v>69640.316666666666</v>
      </c>
      <c r="AW37" s="203">
        <f t="shared" si="51"/>
        <v>69640.316666666666</v>
      </c>
      <c r="AX37" s="203">
        <f t="shared" si="51"/>
        <v>69640.316666666666</v>
      </c>
      <c r="AY37" s="203">
        <f t="shared" si="51"/>
        <v>69640.316666666666</v>
      </c>
      <c r="AZ37" s="203">
        <f t="shared" si="51"/>
        <v>69640.316666666666</v>
      </c>
      <c r="BA37" s="203">
        <f t="shared" si="51"/>
        <v>69640.316666666666</v>
      </c>
      <c r="BB37" s="199">
        <f t="shared" si="30"/>
        <v>835683.79999999993</v>
      </c>
      <c r="BC37" s="203">
        <f>$K$37*$I$37/12</f>
        <v>69640.316666666666</v>
      </c>
      <c r="BD37" s="203">
        <f>$K$37*$I$37/12</f>
        <v>69640.316666666666</v>
      </c>
      <c r="BE37" s="203">
        <f>$K$37*$I$37/12</f>
        <v>69640.316666666666</v>
      </c>
      <c r="BF37" s="203">
        <f>$K$37*$I$37/12</f>
        <v>69640.316666666666</v>
      </c>
      <c r="BG37" s="203">
        <f>$K$37*$I$37/12</f>
        <v>69640.316666666666</v>
      </c>
      <c r="BH37" s="203"/>
      <c r="BI37" s="203"/>
      <c r="BJ37" s="203"/>
      <c r="BK37" s="203"/>
      <c r="BL37" s="203"/>
      <c r="BM37" s="203"/>
      <c r="BN37" s="203"/>
      <c r="BO37" s="199">
        <f t="shared" si="39"/>
        <v>348201.58333333331</v>
      </c>
      <c r="BP37" s="200">
        <f t="shared" si="32"/>
        <v>1183885.3833333333</v>
      </c>
      <c r="BQ37" s="200">
        <f t="shared" si="23"/>
        <v>2994533.6166666667</v>
      </c>
      <c r="BR37" s="224"/>
      <c r="BS37" s="224"/>
    </row>
    <row r="38" spans="1:72" s="195" customFormat="1" x14ac:dyDescent="0.3">
      <c r="A38" s="187"/>
      <c r="B38" s="188" t="s">
        <v>151</v>
      </c>
      <c r="C38" s="189">
        <v>44326</v>
      </c>
      <c r="D38" s="190"/>
      <c r="E38" s="191"/>
      <c r="F38" s="192">
        <v>4700721</v>
      </c>
      <c r="G38" s="192"/>
      <c r="H38" s="193"/>
      <c r="I38" s="194">
        <v>0.2</v>
      </c>
      <c r="J38" s="192"/>
      <c r="K38" s="192">
        <f t="shared" si="38"/>
        <v>4700721</v>
      </c>
      <c r="L38" s="192"/>
      <c r="M38" s="192"/>
      <c r="O38" s="205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5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199">
        <f t="shared" si="21"/>
        <v>0</v>
      </c>
      <c r="AP38" s="203">
        <f t="shared" ref="AP38:AU38" si="52">$K$38*$I$38/12</f>
        <v>78345.350000000006</v>
      </c>
      <c r="AQ38" s="203">
        <f t="shared" si="52"/>
        <v>78345.350000000006</v>
      </c>
      <c r="AR38" s="203">
        <f t="shared" si="52"/>
        <v>78345.350000000006</v>
      </c>
      <c r="AS38" s="203">
        <f t="shared" si="52"/>
        <v>78345.350000000006</v>
      </c>
      <c r="AT38" s="203">
        <f t="shared" si="52"/>
        <v>78345.350000000006</v>
      </c>
      <c r="AU38" s="203">
        <f t="shared" si="52"/>
        <v>78345.350000000006</v>
      </c>
      <c r="AV38" s="203">
        <f>$K$38*$I$38/12</f>
        <v>78345.350000000006</v>
      </c>
      <c r="AW38" s="203">
        <f t="shared" ref="AW38:BA38" si="53">$K$38*$I$38/12</f>
        <v>78345.350000000006</v>
      </c>
      <c r="AX38" s="203">
        <f t="shared" si="53"/>
        <v>78345.350000000006</v>
      </c>
      <c r="AY38" s="203">
        <f t="shared" si="53"/>
        <v>78345.350000000006</v>
      </c>
      <c r="AZ38" s="203">
        <f t="shared" si="53"/>
        <v>78345.350000000006</v>
      </c>
      <c r="BA38" s="203">
        <f t="shared" si="53"/>
        <v>78345.350000000006</v>
      </c>
      <c r="BB38" s="199">
        <f t="shared" si="30"/>
        <v>940144.19999999984</v>
      </c>
      <c r="BC38" s="203">
        <f t="shared" ref="BC38:BG38" si="54">$K$38*$I$38/12</f>
        <v>78345.350000000006</v>
      </c>
      <c r="BD38" s="203">
        <f t="shared" si="54"/>
        <v>78345.350000000006</v>
      </c>
      <c r="BE38" s="203">
        <f t="shared" si="54"/>
        <v>78345.350000000006</v>
      </c>
      <c r="BF38" s="203">
        <f t="shared" si="54"/>
        <v>78345.350000000006</v>
      </c>
      <c r="BG38" s="203">
        <f t="shared" si="54"/>
        <v>78345.350000000006</v>
      </c>
      <c r="BH38" s="203"/>
      <c r="BI38" s="203"/>
      <c r="BJ38" s="203"/>
      <c r="BK38" s="203"/>
      <c r="BL38" s="203"/>
      <c r="BM38" s="203"/>
      <c r="BN38" s="203"/>
      <c r="BO38" s="199">
        <f t="shared" si="39"/>
        <v>391726.75</v>
      </c>
      <c r="BP38" s="200">
        <f t="shared" si="32"/>
        <v>1331870.9499999997</v>
      </c>
      <c r="BQ38" s="200">
        <f t="shared" si="23"/>
        <v>3368850.0500000003</v>
      </c>
      <c r="BR38" s="224"/>
      <c r="BS38" s="224"/>
    </row>
    <row r="39" spans="1:72" s="195" customFormat="1" x14ac:dyDescent="0.3">
      <c r="A39" s="187"/>
      <c r="B39" s="188" t="s">
        <v>152</v>
      </c>
      <c r="C39" s="189">
        <v>44796</v>
      </c>
      <c r="D39" s="190" t="s">
        <v>163</v>
      </c>
      <c r="E39" s="191"/>
      <c r="F39" s="192">
        <v>4578992</v>
      </c>
      <c r="G39" s="192">
        <v>870008</v>
      </c>
      <c r="H39" s="193"/>
      <c r="I39" s="194">
        <v>0.2</v>
      </c>
      <c r="J39" s="192"/>
      <c r="K39" s="192">
        <f t="shared" si="38"/>
        <v>5449000</v>
      </c>
      <c r="L39" s="192"/>
      <c r="M39" s="192"/>
      <c r="O39" s="205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5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199">
        <f t="shared" si="21"/>
        <v>0</v>
      </c>
      <c r="AP39" s="205"/>
      <c r="AQ39" s="205"/>
      <c r="AR39" s="205"/>
      <c r="AS39" s="205"/>
      <c r="AT39" s="205"/>
      <c r="AU39" s="205"/>
      <c r="AV39" s="205"/>
      <c r="AW39" s="205">
        <v>21191</v>
      </c>
      <c r="AX39" s="203">
        <f>$K$39*$I$39/12</f>
        <v>90816.666666666672</v>
      </c>
      <c r="AY39" s="203">
        <f t="shared" ref="AY39:BG39" si="55">$K$39*$I$39/12</f>
        <v>90816.666666666672</v>
      </c>
      <c r="AZ39" s="203">
        <f t="shared" si="55"/>
        <v>90816.666666666672</v>
      </c>
      <c r="BA39" s="203">
        <f t="shared" si="55"/>
        <v>90816.666666666672</v>
      </c>
      <c r="BB39" s="199">
        <f t="shared" si="30"/>
        <v>384457.66666666669</v>
      </c>
      <c r="BC39" s="203">
        <f t="shared" si="55"/>
        <v>90816.666666666672</v>
      </c>
      <c r="BD39" s="203">
        <f t="shared" si="55"/>
        <v>90816.666666666672</v>
      </c>
      <c r="BE39" s="203">
        <f t="shared" si="55"/>
        <v>90816.666666666672</v>
      </c>
      <c r="BF39" s="203">
        <f t="shared" si="55"/>
        <v>90816.666666666672</v>
      </c>
      <c r="BG39" s="203">
        <f t="shared" si="55"/>
        <v>90816.666666666672</v>
      </c>
      <c r="BH39" s="205"/>
      <c r="BI39" s="205"/>
      <c r="BJ39" s="205"/>
      <c r="BK39" s="203"/>
      <c r="BL39" s="203"/>
      <c r="BM39" s="203"/>
      <c r="BN39" s="203"/>
      <c r="BO39" s="199">
        <f t="shared" si="39"/>
        <v>454083.33333333337</v>
      </c>
      <c r="BP39" s="200">
        <f t="shared" si="32"/>
        <v>838541</v>
      </c>
      <c r="BQ39" s="200">
        <f t="shared" si="23"/>
        <v>4610459</v>
      </c>
      <c r="BR39" s="224"/>
      <c r="BS39" s="224"/>
    </row>
    <row r="40" spans="1:72" s="195" customFormat="1" x14ac:dyDescent="0.3">
      <c r="A40" s="187"/>
      <c r="B40" s="188" t="s">
        <v>152</v>
      </c>
      <c r="C40" s="189">
        <v>44796</v>
      </c>
      <c r="D40" s="190" t="s">
        <v>163</v>
      </c>
      <c r="E40" s="191"/>
      <c r="F40" s="192">
        <v>4578992</v>
      </c>
      <c r="G40" s="192">
        <v>870008</v>
      </c>
      <c r="H40" s="193"/>
      <c r="I40" s="194">
        <v>0.2</v>
      </c>
      <c r="J40" s="192"/>
      <c r="K40" s="192">
        <f>F40+G40+H40</f>
        <v>5449000</v>
      </c>
      <c r="L40" s="192"/>
      <c r="M40" s="192"/>
      <c r="O40" s="205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5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199">
        <f t="shared" si="21"/>
        <v>0</v>
      </c>
      <c r="AP40" s="205"/>
      <c r="AQ40" s="205"/>
      <c r="AR40" s="205"/>
      <c r="AS40" s="205"/>
      <c r="AT40" s="205"/>
      <c r="AU40" s="205"/>
      <c r="AV40" s="205"/>
      <c r="AW40" s="205">
        <v>21191</v>
      </c>
      <c r="AX40" s="203">
        <f>$K$40*$I$40/12</f>
        <v>90816.666666666672</v>
      </c>
      <c r="AY40" s="203">
        <f t="shared" ref="AY40:BG40" si="56">$K$40*$I$40/12</f>
        <v>90816.666666666672</v>
      </c>
      <c r="AZ40" s="203">
        <f t="shared" si="56"/>
        <v>90816.666666666672</v>
      </c>
      <c r="BA40" s="203">
        <f t="shared" si="56"/>
        <v>90816.666666666672</v>
      </c>
      <c r="BB40" s="199">
        <f t="shared" si="30"/>
        <v>384457.66666666669</v>
      </c>
      <c r="BC40" s="203">
        <f t="shared" si="56"/>
        <v>90816.666666666672</v>
      </c>
      <c r="BD40" s="203">
        <f t="shared" si="56"/>
        <v>90816.666666666672</v>
      </c>
      <c r="BE40" s="203">
        <f t="shared" si="56"/>
        <v>90816.666666666672</v>
      </c>
      <c r="BF40" s="203">
        <f t="shared" si="56"/>
        <v>90816.666666666672</v>
      </c>
      <c r="BG40" s="203">
        <f t="shared" si="56"/>
        <v>90816.666666666672</v>
      </c>
      <c r="BH40" s="205"/>
      <c r="BI40" s="205"/>
      <c r="BJ40" s="205"/>
      <c r="BK40" s="203"/>
      <c r="BL40" s="203"/>
      <c r="BM40" s="203"/>
      <c r="BN40" s="203"/>
      <c r="BO40" s="199">
        <f t="shared" si="39"/>
        <v>454083.33333333337</v>
      </c>
      <c r="BP40" s="200">
        <f t="shared" si="32"/>
        <v>838541</v>
      </c>
      <c r="BQ40" s="200">
        <f t="shared" si="23"/>
        <v>4610459</v>
      </c>
      <c r="BR40" s="224"/>
      <c r="BS40" s="224"/>
    </row>
    <row r="41" spans="1:72" s="195" customFormat="1" ht="24" x14ac:dyDescent="0.3">
      <c r="A41" s="187"/>
      <c r="B41" s="188" t="s">
        <v>154</v>
      </c>
      <c r="C41" s="189">
        <v>44859</v>
      </c>
      <c r="D41" s="190" t="s">
        <v>163</v>
      </c>
      <c r="E41" s="191"/>
      <c r="F41" s="192">
        <f>11596470/2</f>
        <v>5798235</v>
      </c>
      <c r="G41" s="192">
        <f>2203329.3/2</f>
        <v>1101664.6499999999</v>
      </c>
      <c r="H41" s="193"/>
      <c r="I41" s="194">
        <v>0.2</v>
      </c>
      <c r="J41" s="192"/>
      <c r="K41" s="192">
        <f t="shared" si="38"/>
        <v>6899899.6500000004</v>
      </c>
      <c r="L41" s="192"/>
      <c r="M41" s="192"/>
      <c r="O41" s="205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5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199">
        <f t="shared" si="21"/>
        <v>0</v>
      </c>
      <c r="AP41" s="205"/>
      <c r="AQ41" s="205"/>
      <c r="AR41" s="205"/>
      <c r="AS41" s="205"/>
      <c r="AT41" s="205"/>
      <c r="AU41" s="205"/>
      <c r="AV41" s="205"/>
      <c r="AW41" s="205"/>
      <c r="AX41" s="205"/>
      <c r="AY41" s="205">
        <v>19166</v>
      </c>
      <c r="AZ41" s="203">
        <f>$K$41*$I$41/12</f>
        <v>114998.32750000001</v>
      </c>
      <c r="BA41" s="203">
        <f>$K$41*$I$41/12</f>
        <v>114998.32750000001</v>
      </c>
      <c r="BB41" s="199">
        <f t="shared" si="30"/>
        <v>249162.65500000003</v>
      </c>
      <c r="BC41" s="203">
        <f>$K$41*$I$41/12</f>
        <v>114998.32750000001</v>
      </c>
      <c r="BD41" s="203">
        <f>$K$41*$I$41/12</f>
        <v>114998.32750000001</v>
      </c>
      <c r="BE41" s="203">
        <f>$K$41*$I$41/12</f>
        <v>114998.32750000001</v>
      </c>
      <c r="BF41" s="203">
        <f>$K$41*$I$41/12</f>
        <v>114998.32750000001</v>
      </c>
      <c r="BG41" s="203">
        <f>$K$41*$I$41/12</f>
        <v>114998.32750000001</v>
      </c>
      <c r="BH41" s="205"/>
      <c r="BI41" s="205"/>
      <c r="BJ41" s="205"/>
      <c r="BK41" s="205"/>
      <c r="BL41" s="205"/>
      <c r="BM41" s="203"/>
      <c r="BN41" s="203"/>
      <c r="BO41" s="199">
        <f t="shared" si="39"/>
        <v>574991.63750000007</v>
      </c>
      <c r="BP41" s="200">
        <f t="shared" si="32"/>
        <v>824154.2925000001</v>
      </c>
      <c r="BQ41" s="200">
        <f t="shared" si="23"/>
        <v>6075745.3574999999</v>
      </c>
      <c r="BR41" s="224"/>
      <c r="BS41" s="224"/>
    </row>
    <row r="42" spans="1:72" s="195" customFormat="1" ht="24" x14ac:dyDescent="0.3">
      <c r="A42" s="187"/>
      <c r="B42" s="188" t="s">
        <v>154</v>
      </c>
      <c r="C42" s="189">
        <v>44859</v>
      </c>
      <c r="D42" s="190" t="s">
        <v>163</v>
      </c>
      <c r="E42" s="191"/>
      <c r="F42" s="192">
        <f>11596470/2</f>
        <v>5798235</v>
      </c>
      <c r="G42" s="192">
        <f>2203329.3/2</f>
        <v>1101664.6499999999</v>
      </c>
      <c r="H42" s="193"/>
      <c r="I42" s="194">
        <v>0.2</v>
      </c>
      <c r="J42" s="192"/>
      <c r="K42" s="192">
        <f>F42+G42+H42</f>
        <v>6899899.6500000004</v>
      </c>
      <c r="L42" s="192"/>
      <c r="M42" s="192"/>
      <c r="O42" s="205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5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199">
        <f t="shared" si="21"/>
        <v>0</v>
      </c>
      <c r="AP42" s="205"/>
      <c r="AQ42" s="205"/>
      <c r="AR42" s="205"/>
      <c r="AS42" s="205"/>
      <c r="AT42" s="205"/>
      <c r="AU42" s="205"/>
      <c r="AV42" s="205"/>
      <c r="AW42" s="205"/>
      <c r="AX42" s="205"/>
      <c r="AY42" s="205">
        <v>19166</v>
      </c>
      <c r="AZ42" s="203">
        <f>$K$42*$I$42/12</f>
        <v>114998.32750000001</v>
      </c>
      <c r="BA42" s="203">
        <f>$K$42*$I$42/12</f>
        <v>114998.32750000001</v>
      </c>
      <c r="BB42" s="199">
        <f t="shared" si="30"/>
        <v>249162.65500000003</v>
      </c>
      <c r="BC42" s="203">
        <f>$K$42*$I$42/12</f>
        <v>114998.32750000001</v>
      </c>
      <c r="BD42" s="203">
        <f>$K$42*$I$42/12</f>
        <v>114998.32750000001</v>
      </c>
      <c r="BE42" s="203">
        <f>$K$42*$I$42/12</f>
        <v>114998.32750000001</v>
      </c>
      <c r="BF42" s="203">
        <f>$K$42*$I$42/12</f>
        <v>114998.32750000001</v>
      </c>
      <c r="BG42" s="203">
        <f>$K$42*$I$42/12</f>
        <v>114998.32750000001</v>
      </c>
      <c r="BH42" s="205"/>
      <c r="BI42" s="205"/>
      <c r="BJ42" s="205"/>
      <c r="BK42" s="205"/>
      <c r="BL42" s="205"/>
      <c r="BM42" s="203"/>
      <c r="BN42" s="203"/>
      <c r="BO42" s="199">
        <f t="shared" si="39"/>
        <v>574991.63750000007</v>
      </c>
      <c r="BP42" s="200">
        <f t="shared" si="32"/>
        <v>824154.2925000001</v>
      </c>
      <c r="BQ42" s="200">
        <f t="shared" si="23"/>
        <v>6075745.3574999999</v>
      </c>
      <c r="BR42" s="224"/>
      <c r="BS42" s="224"/>
    </row>
    <row r="43" spans="1:72" s="195" customFormat="1" ht="36" x14ac:dyDescent="0.3">
      <c r="A43" s="187"/>
      <c r="B43" s="188" t="s">
        <v>162</v>
      </c>
      <c r="C43" s="189">
        <v>44889</v>
      </c>
      <c r="D43" s="190" t="s">
        <v>163</v>
      </c>
      <c r="E43" s="191"/>
      <c r="F43" s="192">
        <v>2562941</v>
      </c>
      <c r="G43" s="192">
        <v>486958.79</v>
      </c>
      <c r="H43" s="193"/>
      <c r="I43" s="194">
        <v>0.2</v>
      </c>
      <c r="J43" s="192"/>
      <c r="K43" s="192">
        <f t="shared" ref="K43:K46" si="57">F43+G43+H43</f>
        <v>3049899.79</v>
      </c>
      <c r="L43" s="192"/>
      <c r="M43" s="192"/>
      <c r="O43" s="205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5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199">
        <f t="shared" si="21"/>
        <v>0</v>
      </c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3">
        <v>10166</v>
      </c>
      <c r="BA43" s="203">
        <f>$K$43*$I$43/12</f>
        <v>50831.663166666665</v>
      </c>
      <c r="BB43" s="199">
        <f t="shared" si="30"/>
        <v>60997.663166666665</v>
      </c>
      <c r="BC43" s="203">
        <f>$K$43*$I$43/12</f>
        <v>50831.663166666665</v>
      </c>
      <c r="BD43" s="203">
        <f>$K$43*$I$43/12</f>
        <v>50831.663166666665</v>
      </c>
      <c r="BE43" s="203">
        <f>$K$43*$I$43/12</f>
        <v>50831.663166666665</v>
      </c>
      <c r="BF43" s="203">
        <f>$K$43*$I$43/12</f>
        <v>50831.663166666665</v>
      </c>
      <c r="BG43" s="203">
        <f>$K$43*$I$43/12</f>
        <v>50831.663166666665</v>
      </c>
      <c r="BH43" s="205"/>
      <c r="BI43" s="205"/>
      <c r="BJ43" s="205"/>
      <c r="BK43" s="205"/>
      <c r="BL43" s="205"/>
      <c r="BM43" s="203"/>
      <c r="BN43" s="203"/>
      <c r="BO43" s="199">
        <f t="shared" si="39"/>
        <v>254158.31583333333</v>
      </c>
      <c r="BP43" s="200">
        <f t="shared" si="32"/>
        <v>315155.97899999999</v>
      </c>
      <c r="BQ43" s="200">
        <f t="shared" si="23"/>
        <v>2734743.8110000002</v>
      </c>
      <c r="BR43" s="224"/>
      <c r="BS43" s="224"/>
    </row>
    <row r="44" spans="1:72" s="195" customFormat="1" ht="36" x14ac:dyDescent="0.3">
      <c r="A44" s="187"/>
      <c r="B44" s="188" t="s">
        <v>162</v>
      </c>
      <c r="C44" s="189">
        <v>44889</v>
      </c>
      <c r="D44" s="190" t="s">
        <v>163</v>
      </c>
      <c r="E44" s="191"/>
      <c r="F44" s="192">
        <v>2562941</v>
      </c>
      <c r="G44" s="192">
        <v>486958.79</v>
      </c>
      <c r="H44" s="193"/>
      <c r="I44" s="194">
        <v>0.2</v>
      </c>
      <c r="J44" s="192"/>
      <c r="K44" s="192">
        <f t="shared" si="57"/>
        <v>3049899.79</v>
      </c>
      <c r="L44" s="192"/>
      <c r="M44" s="192"/>
      <c r="O44" s="205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5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199">
        <f t="shared" si="21"/>
        <v>0</v>
      </c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3">
        <v>10166</v>
      </c>
      <c r="BA44" s="203">
        <f>$K$44*$I$44/12</f>
        <v>50831.663166666665</v>
      </c>
      <c r="BB44" s="199">
        <f t="shared" si="30"/>
        <v>60997.663166666665</v>
      </c>
      <c r="BC44" s="203">
        <f>$K$44*$I$44/12</f>
        <v>50831.663166666665</v>
      </c>
      <c r="BD44" s="203">
        <f>$K$44*$I$44/12</f>
        <v>50831.663166666665</v>
      </c>
      <c r="BE44" s="203">
        <f>$K$44*$I$44/12</f>
        <v>50831.663166666665</v>
      </c>
      <c r="BF44" s="203">
        <f>$K$44*$I$44/12</f>
        <v>50831.663166666665</v>
      </c>
      <c r="BG44" s="203">
        <f>$K$44*$I$44/12</f>
        <v>50831.663166666665</v>
      </c>
      <c r="BH44" s="205"/>
      <c r="BI44" s="205"/>
      <c r="BJ44" s="205"/>
      <c r="BK44" s="205"/>
      <c r="BL44" s="205"/>
      <c r="BM44" s="203"/>
      <c r="BN44" s="203"/>
      <c r="BO44" s="199">
        <f t="shared" si="39"/>
        <v>254158.31583333333</v>
      </c>
      <c r="BP44" s="200">
        <f t="shared" si="32"/>
        <v>315155.97899999999</v>
      </c>
      <c r="BQ44" s="200">
        <f t="shared" si="23"/>
        <v>2734743.8110000002</v>
      </c>
      <c r="BR44" s="224"/>
      <c r="BS44" s="224"/>
    </row>
    <row r="45" spans="1:72" s="195" customFormat="1" x14ac:dyDescent="0.3">
      <c r="A45" s="187"/>
      <c r="B45" s="188" t="s">
        <v>175</v>
      </c>
      <c r="C45" s="189">
        <v>44875</v>
      </c>
      <c r="D45" s="190" t="s">
        <v>176</v>
      </c>
      <c r="E45" s="191" t="s">
        <v>177</v>
      </c>
      <c r="F45" s="192">
        <v>6044081</v>
      </c>
      <c r="G45" s="192">
        <v>0</v>
      </c>
      <c r="H45" s="193"/>
      <c r="I45" s="194">
        <v>0.2</v>
      </c>
      <c r="J45" s="192"/>
      <c r="K45" s="192">
        <f t="shared" si="57"/>
        <v>6044081</v>
      </c>
      <c r="L45" s="192"/>
      <c r="M45" s="192"/>
      <c r="O45" s="205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5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199">
        <f t="shared" si="21"/>
        <v>0</v>
      </c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3">
        <v>67157</v>
      </c>
      <c r="BA45" s="203">
        <f>$K$45*$I$45/12</f>
        <v>100734.68333333333</v>
      </c>
      <c r="BB45" s="199">
        <f t="shared" si="30"/>
        <v>167891.68333333335</v>
      </c>
      <c r="BC45" s="203">
        <f>$K$45*$I$45/12</f>
        <v>100734.68333333333</v>
      </c>
      <c r="BD45" s="203">
        <f>$K$45*$I$45/12</f>
        <v>100734.68333333333</v>
      </c>
      <c r="BE45" s="203">
        <f>$K$45*$I$45/12</f>
        <v>100734.68333333333</v>
      </c>
      <c r="BF45" s="203">
        <f>$K$45*$I$45/12</f>
        <v>100734.68333333333</v>
      </c>
      <c r="BG45" s="203">
        <f>$K$45*$I$45/12</f>
        <v>100734.68333333333</v>
      </c>
      <c r="BH45" s="205"/>
      <c r="BI45" s="205"/>
      <c r="BJ45" s="205"/>
      <c r="BK45" s="205"/>
      <c r="BL45" s="205"/>
      <c r="BM45" s="203"/>
      <c r="BN45" s="203"/>
      <c r="BO45" s="199">
        <f t="shared" si="39"/>
        <v>503673.41666666669</v>
      </c>
      <c r="BP45" s="200">
        <f t="shared" si="32"/>
        <v>671565.10000000009</v>
      </c>
      <c r="BQ45" s="200">
        <f>+K45-BP45</f>
        <v>5372515.9000000004</v>
      </c>
      <c r="BR45" s="224"/>
      <c r="BS45" s="224"/>
    </row>
    <row r="46" spans="1:72" s="195" customFormat="1" ht="24" hidden="1" x14ac:dyDescent="0.3">
      <c r="A46" s="187"/>
      <c r="B46" s="188" t="s">
        <v>256</v>
      </c>
      <c r="C46" s="189">
        <v>44951</v>
      </c>
      <c r="D46" s="190"/>
      <c r="E46" s="191"/>
      <c r="F46" s="192">
        <v>920000</v>
      </c>
      <c r="G46" s="192">
        <v>174800</v>
      </c>
      <c r="H46" s="193"/>
      <c r="I46" s="194">
        <v>1</v>
      </c>
      <c r="J46" s="192">
        <v>5</v>
      </c>
      <c r="K46" s="192">
        <f t="shared" si="57"/>
        <v>1094800</v>
      </c>
      <c r="L46" s="192" t="s">
        <v>113</v>
      </c>
      <c r="M46" s="192"/>
      <c r="O46" s="205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5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199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3"/>
      <c r="BA46" s="203"/>
      <c r="BB46" s="199"/>
      <c r="BC46" s="203">
        <f>$K$46*$I$46</f>
        <v>1094800</v>
      </c>
      <c r="BD46" s="205"/>
      <c r="BE46" s="203"/>
      <c r="BF46" s="205"/>
      <c r="BG46" s="205"/>
      <c r="BH46" s="205"/>
      <c r="BI46" s="205"/>
      <c r="BJ46" s="205"/>
      <c r="BK46" s="205"/>
      <c r="BL46" s="205"/>
      <c r="BM46" s="203"/>
      <c r="BN46" s="203"/>
      <c r="BO46" s="199">
        <f t="shared" si="39"/>
        <v>1094800</v>
      </c>
      <c r="BP46" s="200">
        <f t="shared" ref="BP46:BP49" si="58">+O46+AB46+AO46+BB46+BO46</f>
        <v>1094800</v>
      </c>
      <c r="BQ46" s="200">
        <f t="shared" ref="BQ46:BQ49" si="59">+K46-BP46</f>
        <v>0</v>
      </c>
    </row>
    <row r="47" spans="1:72" s="195" customFormat="1" ht="24" x14ac:dyDescent="0.3">
      <c r="A47" s="187"/>
      <c r="B47" s="188" t="s">
        <v>259</v>
      </c>
      <c r="C47" s="189">
        <v>44973</v>
      </c>
      <c r="D47" s="190" t="s">
        <v>163</v>
      </c>
      <c r="E47" s="191"/>
      <c r="F47" s="192">
        <v>5742213</v>
      </c>
      <c r="G47" s="192">
        <v>1091020.33</v>
      </c>
      <c r="H47" s="193"/>
      <c r="I47" s="194">
        <v>0.2</v>
      </c>
      <c r="J47" s="192"/>
      <c r="K47" s="192">
        <f t="shared" ref="K47:K53" si="60">F47+G47+H47</f>
        <v>6833233.3300000001</v>
      </c>
      <c r="L47" s="192"/>
      <c r="M47" s="192"/>
      <c r="O47" s="205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5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199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3"/>
      <c r="BA47" s="203"/>
      <c r="BB47" s="199"/>
      <c r="BC47" s="203"/>
      <c r="BD47" s="203">
        <f>$K$47*$I$47/12</f>
        <v>113887.22216666669</v>
      </c>
      <c r="BE47" s="203">
        <f>$K$47*$I$47/12</f>
        <v>113887.22216666669</v>
      </c>
      <c r="BF47" s="203">
        <f>$K$47*$I$47/12</f>
        <v>113887.22216666669</v>
      </c>
      <c r="BG47" s="203">
        <f>$K$47*$I$47/12</f>
        <v>113887.22216666669</v>
      </c>
      <c r="BH47" s="205"/>
      <c r="BI47" s="205"/>
      <c r="BJ47" s="205"/>
      <c r="BK47" s="205"/>
      <c r="BL47" s="205"/>
      <c r="BM47" s="203"/>
      <c r="BN47" s="203"/>
      <c r="BO47" s="199">
        <f t="shared" si="39"/>
        <v>455548.88866666675</v>
      </c>
      <c r="BP47" s="200">
        <f t="shared" si="58"/>
        <v>455548.88866666675</v>
      </c>
      <c r="BQ47" s="200">
        <f t="shared" si="59"/>
        <v>6377684.441333333</v>
      </c>
      <c r="BR47" s="224"/>
      <c r="BS47" s="224"/>
      <c r="BT47" s="201"/>
    </row>
    <row r="48" spans="1:72" s="195" customFormat="1" ht="24" x14ac:dyDescent="0.3">
      <c r="A48" s="187"/>
      <c r="B48" s="188" t="s">
        <v>259</v>
      </c>
      <c r="C48" s="189">
        <v>44973</v>
      </c>
      <c r="D48" s="190" t="s">
        <v>163</v>
      </c>
      <c r="E48" s="191"/>
      <c r="F48" s="192">
        <v>5742213</v>
      </c>
      <c r="G48" s="192">
        <v>1091020.33</v>
      </c>
      <c r="H48" s="193"/>
      <c r="I48" s="194">
        <v>0.2</v>
      </c>
      <c r="J48" s="192"/>
      <c r="K48" s="192">
        <f t="shared" si="60"/>
        <v>6833233.3300000001</v>
      </c>
      <c r="L48" s="192"/>
      <c r="M48" s="192"/>
      <c r="O48" s="205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5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199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3"/>
      <c r="BA48" s="203"/>
      <c r="BB48" s="199"/>
      <c r="BC48" s="203"/>
      <c r="BD48" s="203">
        <f>$K$48*$I$48/12</f>
        <v>113887.22216666669</v>
      </c>
      <c r="BE48" s="203">
        <f>$K$48*$I$48/12</f>
        <v>113887.22216666669</v>
      </c>
      <c r="BF48" s="203">
        <f>$K$48*$I$48/12</f>
        <v>113887.22216666669</v>
      </c>
      <c r="BG48" s="203">
        <f>$K$48*$I$48/12</f>
        <v>113887.22216666669</v>
      </c>
      <c r="BH48" s="205"/>
      <c r="BI48" s="205"/>
      <c r="BJ48" s="205"/>
      <c r="BK48" s="205"/>
      <c r="BL48" s="205"/>
      <c r="BM48" s="203"/>
      <c r="BN48" s="203"/>
      <c r="BO48" s="199">
        <f t="shared" si="39"/>
        <v>455548.88866666675</v>
      </c>
      <c r="BP48" s="200">
        <f t="shared" si="58"/>
        <v>455548.88866666675</v>
      </c>
      <c r="BQ48" s="200">
        <f t="shared" si="59"/>
        <v>6377684.441333333</v>
      </c>
      <c r="BR48" s="224">
        <f>2943908/1.19</f>
        <v>2473872.2689075633</v>
      </c>
      <c r="BS48" s="224"/>
    </row>
    <row r="49" spans="1:142" s="195" customFormat="1" ht="24" x14ac:dyDescent="0.3">
      <c r="A49" s="187"/>
      <c r="B49" s="188" t="s">
        <v>259</v>
      </c>
      <c r="C49" s="189">
        <v>44973</v>
      </c>
      <c r="D49" s="190" t="s">
        <v>163</v>
      </c>
      <c r="E49" s="191"/>
      <c r="F49" s="192">
        <v>5742213</v>
      </c>
      <c r="G49" s="192">
        <v>1091020.33</v>
      </c>
      <c r="H49" s="193"/>
      <c r="I49" s="194">
        <v>0.2</v>
      </c>
      <c r="J49" s="192"/>
      <c r="K49" s="192">
        <f t="shared" si="60"/>
        <v>6833233.3300000001</v>
      </c>
      <c r="L49" s="192"/>
      <c r="M49" s="192"/>
      <c r="O49" s="205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5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199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3"/>
      <c r="BA49" s="203"/>
      <c r="BB49" s="199"/>
      <c r="BC49" s="203"/>
      <c r="BD49" s="203">
        <f>$K$49*$I$49/12</f>
        <v>113887.22216666669</v>
      </c>
      <c r="BE49" s="203">
        <f>$K$49*$I$49/12</f>
        <v>113887.22216666669</v>
      </c>
      <c r="BF49" s="203">
        <f>$K$49*$I$49/12</f>
        <v>113887.22216666669</v>
      </c>
      <c r="BG49" s="203">
        <f>$K$49*$I$49/12</f>
        <v>113887.22216666669</v>
      </c>
      <c r="BH49" s="205"/>
      <c r="BI49" s="205"/>
      <c r="BJ49" s="205"/>
      <c r="BK49" s="205"/>
      <c r="BL49" s="205"/>
      <c r="BM49" s="203"/>
      <c r="BN49" s="203"/>
      <c r="BO49" s="199">
        <f t="shared" si="39"/>
        <v>455548.88866666675</v>
      </c>
      <c r="BP49" s="200">
        <f t="shared" si="58"/>
        <v>455548.88866666675</v>
      </c>
      <c r="BQ49" s="200">
        <f t="shared" si="59"/>
        <v>6377684.441333333</v>
      </c>
      <c r="BR49" s="224"/>
      <c r="BS49" s="224"/>
    </row>
    <row r="50" spans="1:142" s="195" customFormat="1" ht="24" x14ac:dyDescent="0.3">
      <c r="A50" s="187"/>
      <c r="B50" s="188" t="s">
        <v>261</v>
      </c>
      <c r="C50" s="189">
        <v>44977</v>
      </c>
      <c r="D50" s="190" t="s">
        <v>260</v>
      </c>
      <c r="E50" s="191"/>
      <c r="F50" s="192">
        <f>533615*12</f>
        <v>6403380</v>
      </c>
      <c r="G50" s="192">
        <f>101386.83*12</f>
        <v>1216641.96</v>
      </c>
      <c r="H50" s="193"/>
      <c r="I50" s="194">
        <v>0.2</v>
      </c>
      <c r="J50" s="192"/>
      <c r="K50" s="192">
        <f t="shared" si="60"/>
        <v>7620021.96</v>
      </c>
      <c r="L50" s="192"/>
      <c r="M50" s="192"/>
      <c r="O50" s="205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5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199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3"/>
      <c r="BA50" s="203"/>
      <c r="BB50" s="199"/>
      <c r="BC50" s="203"/>
      <c r="BD50" s="203">
        <f>$K$50*$I$50/12</f>
        <v>127000.36599999999</v>
      </c>
      <c r="BE50" s="203">
        <f>$K$50*$I$50/12</f>
        <v>127000.36599999999</v>
      </c>
      <c r="BF50" s="203">
        <f>$K$50*$I$50/12</f>
        <v>127000.36599999999</v>
      </c>
      <c r="BG50" s="203">
        <f>$K$50*$I$50/12</f>
        <v>127000.36599999999</v>
      </c>
      <c r="BH50" s="205"/>
      <c r="BI50" s="205"/>
      <c r="BJ50" s="205"/>
      <c r="BK50" s="205"/>
      <c r="BL50" s="205"/>
      <c r="BM50" s="203"/>
      <c r="BN50" s="203"/>
      <c r="BO50" s="199">
        <f>SUM(BC50:BN50)</f>
        <v>508001.46399999998</v>
      </c>
      <c r="BP50" s="200">
        <f t="shared" ref="BP50" si="61">+O50+AB50+AO50+BB50+BO50</f>
        <v>508001.46399999998</v>
      </c>
      <c r="BQ50" s="200">
        <f t="shared" ref="BQ50" si="62">+K50-BP50</f>
        <v>7112020.4960000003</v>
      </c>
      <c r="BR50" s="224"/>
      <c r="BS50" s="224"/>
    </row>
    <row r="51" spans="1:142" s="195" customFormat="1" ht="24" x14ac:dyDescent="0.3">
      <c r="A51" s="187"/>
      <c r="B51" s="188" t="s">
        <v>262</v>
      </c>
      <c r="C51" s="189">
        <v>44979</v>
      </c>
      <c r="D51" s="190" t="s">
        <v>263</v>
      </c>
      <c r="E51" s="191"/>
      <c r="F51" s="192">
        <v>5700000</v>
      </c>
      <c r="G51" s="192"/>
      <c r="H51" s="193"/>
      <c r="I51" s="194">
        <v>0.2</v>
      </c>
      <c r="J51" s="192"/>
      <c r="K51" s="192">
        <f t="shared" si="60"/>
        <v>5700000</v>
      </c>
      <c r="L51" s="192"/>
      <c r="M51" s="192"/>
      <c r="O51" s="205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5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199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3"/>
      <c r="BA51" s="203"/>
      <c r="BB51" s="199"/>
      <c r="BC51" s="203"/>
      <c r="BD51" s="203">
        <f>$K$51*$I$51/12</f>
        <v>95000</v>
      </c>
      <c r="BE51" s="203">
        <f>$K$51*$I$51/12</f>
        <v>95000</v>
      </c>
      <c r="BF51" s="203">
        <f>$K$51*$I$51/12</f>
        <v>95000</v>
      </c>
      <c r="BG51" s="203">
        <f>$K$51*$I$51/12</f>
        <v>95000</v>
      </c>
      <c r="BH51" s="205"/>
      <c r="BI51" s="205"/>
      <c r="BJ51" s="205"/>
      <c r="BK51" s="205"/>
      <c r="BL51" s="205"/>
      <c r="BM51" s="203"/>
      <c r="BN51" s="203"/>
      <c r="BO51" s="199">
        <f>SUBTOTAL(9,BD51:BG51)</f>
        <v>380000</v>
      </c>
      <c r="BP51" s="200">
        <f>+O51+AB51+AO51+BB51+BO51</f>
        <v>380000</v>
      </c>
      <c r="BQ51" s="200">
        <f t="shared" ref="BQ51" si="63">+K51-BP51</f>
        <v>5320000</v>
      </c>
      <c r="BR51" s="224"/>
      <c r="BS51" s="224"/>
    </row>
    <row r="52" spans="1:142" s="195" customFormat="1" ht="36" x14ac:dyDescent="0.3">
      <c r="A52" s="187"/>
      <c r="B52" s="188" t="s">
        <v>270</v>
      </c>
      <c r="C52" s="189">
        <v>45076</v>
      </c>
      <c r="D52" s="190"/>
      <c r="E52" s="191"/>
      <c r="F52" s="192">
        <v>2473872</v>
      </c>
      <c r="G52" s="192">
        <v>470036</v>
      </c>
      <c r="H52" s="193"/>
      <c r="I52" s="194">
        <v>0.2</v>
      </c>
      <c r="J52" s="192"/>
      <c r="K52" s="192">
        <f t="shared" si="60"/>
        <v>2943908</v>
      </c>
      <c r="L52" s="192"/>
      <c r="M52" s="192"/>
      <c r="O52" s="205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5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199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3"/>
      <c r="BA52" s="203"/>
      <c r="BB52" s="199"/>
      <c r="BC52" s="203"/>
      <c r="BD52" s="203"/>
      <c r="BE52" s="203"/>
      <c r="BF52" s="203"/>
      <c r="BG52" s="203"/>
      <c r="BH52" s="205"/>
      <c r="BI52" s="205"/>
      <c r="BJ52" s="205"/>
      <c r="BK52" s="205"/>
      <c r="BL52" s="205"/>
      <c r="BM52" s="203"/>
      <c r="BN52" s="203"/>
      <c r="BO52" s="199">
        <f>SUBTOTAL(9,BD52:BF52)</f>
        <v>0</v>
      </c>
      <c r="BP52" s="200">
        <f t="shared" ref="BP52" si="64">+O52+AB52+AO52+BB52+BO52</f>
        <v>0</v>
      </c>
      <c r="BQ52" s="200">
        <f>+K52-BP52</f>
        <v>2943908</v>
      </c>
      <c r="BR52" s="224">
        <f>2943908/1.19</f>
        <v>2473872.2689075633</v>
      </c>
      <c r="BS52" s="224">
        <f>+BR52*19%</f>
        <v>470035.73109243705</v>
      </c>
    </row>
    <row r="53" spans="1:142" s="195" customFormat="1" ht="36" x14ac:dyDescent="0.3">
      <c r="A53" s="187"/>
      <c r="B53" s="188" t="s">
        <v>271</v>
      </c>
      <c r="C53" s="189">
        <v>45076</v>
      </c>
      <c r="D53" s="190"/>
      <c r="E53" s="191"/>
      <c r="F53" s="192">
        <v>3188100</v>
      </c>
      <c r="G53" s="192"/>
      <c r="H53" s="193"/>
      <c r="I53" s="194">
        <v>0.2</v>
      </c>
      <c r="J53" s="192"/>
      <c r="K53" s="192">
        <f t="shared" si="60"/>
        <v>3188100</v>
      </c>
      <c r="L53" s="192"/>
      <c r="M53" s="192"/>
      <c r="O53" s="205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5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199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3"/>
      <c r="BA53" s="203"/>
      <c r="BB53" s="199"/>
      <c r="BC53" s="203"/>
      <c r="BD53" s="203"/>
      <c r="BE53" s="203"/>
      <c r="BF53" s="203"/>
      <c r="BG53" s="203"/>
      <c r="BH53" s="205"/>
      <c r="BI53" s="205"/>
      <c r="BJ53" s="205"/>
      <c r="BK53" s="205"/>
      <c r="BL53" s="205"/>
      <c r="BM53" s="203"/>
      <c r="BN53" s="203"/>
      <c r="BO53" s="199"/>
      <c r="BP53" s="200"/>
      <c r="BQ53" s="200"/>
      <c r="BR53" s="224"/>
      <c r="BS53" s="224"/>
    </row>
    <row r="54" spans="1:142" s="162" customFormat="1" x14ac:dyDescent="0.3">
      <c r="A54" s="157"/>
      <c r="B54" s="168" t="s">
        <v>10</v>
      </c>
      <c r="C54" s="168"/>
      <c r="D54" s="168"/>
      <c r="E54" s="168"/>
      <c r="F54" s="158">
        <f>SUM(F25:F53)</f>
        <v>124891946.82352941</v>
      </c>
      <c r="G54" s="158">
        <f>SUM(G25:G50)</f>
        <v>13030185.006470591</v>
      </c>
      <c r="H54" s="160">
        <f>SUM(H41:H41)</f>
        <v>0</v>
      </c>
      <c r="I54" s="161"/>
      <c r="J54" s="159"/>
      <c r="K54" s="158">
        <f>SUM(K25:K47)</f>
        <v>105273671.21000002</v>
      </c>
      <c r="L54" s="159"/>
      <c r="M54" s="158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58">
        <f t="shared" ref="AN54:AY54" si="65">SUM(AN25:AN42)</f>
        <v>611640.64999999991</v>
      </c>
      <c r="AO54" s="158">
        <f t="shared" si="65"/>
        <v>9693717.8833333328</v>
      </c>
      <c r="AP54" s="158">
        <f t="shared" si="65"/>
        <v>759626.31666666653</v>
      </c>
      <c r="AQ54" s="158">
        <f t="shared" si="65"/>
        <v>759626.31666666653</v>
      </c>
      <c r="AR54" s="158">
        <f t="shared" si="65"/>
        <v>759626.31666666653</v>
      </c>
      <c r="AS54" s="158">
        <f t="shared" si="65"/>
        <v>765515.31666666653</v>
      </c>
      <c r="AT54" s="158">
        <f t="shared" si="65"/>
        <v>952459.63333333319</v>
      </c>
      <c r="AU54" s="158">
        <f t="shared" si="65"/>
        <v>952459.63333333319</v>
      </c>
      <c r="AV54" s="158">
        <f t="shared" si="65"/>
        <v>952459.63333333319</v>
      </c>
      <c r="AW54" s="158">
        <f t="shared" si="65"/>
        <v>994841.63333333319</v>
      </c>
      <c r="AX54" s="158">
        <f t="shared" si="65"/>
        <v>1134092.9666666666</v>
      </c>
      <c r="AY54" s="158">
        <f t="shared" si="65"/>
        <v>1172424.9666666666</v>
      </c>
      <c r="AZ54" s="158">
        <f>SUM(AZ25:AZ45)</f>
        <v>1451578.6216666666</v>
      </c>
      <c r="BA54" s="158">
        <f>SUM(BA25:BA45)</f>
        <v>1566487.6313333332</v>
      </c>
      <c r="BB54" s="158">
        <f>SUM(BB25:BB45)</f>
        <v>12221198.986333329</v>
      </c>
      <c r="BC54" s="158">
        <f>SUM(BC25:BC46)</f>
        <v>2661287.6313333334</v>
      </c>
      <c r="BD54" s="158">
        <f>SUBTOTAL(9,BD25:BD51)</f>
        <v>2132109.3471666668</v>
      </c>
      <c r="BE54" s="158">
        <f>SUBTOTAL(9,BE25:BE51)</f>
        <v>2132109.3471666668</v>
      </c>
      <c r="BF54" s="158">
        <f>SUBTOTAL(9,BF25:BF51)</f>
        <v>2132109.3471666668</v>
      </c>
      <c r="BG54" s="158">
        <f>SUBTOTAL(9,BG25:BG51)</f>
        <v>2132109.3471666668</v>
      </c>
      <c r="BH54" s="158">
        <f>SUM(BH25:BH42)</f>
        <v>0</v>
      </c>
      <c r="BI54" s="158">
        <f>SUM(BI25:BI42)</f>
        <v>0</v>
      </c>
      <c r="BJ54" s="158">
        <f>SUM(BJ25:BJ42)</f>
        <v>0</v>
      </c>
      <c r="BK54" s="158">
        <f>SUM(BK25:BK42)</f>
        <v>0</v>
      </c>
      <c r="BL54" s="158">
        <f>SUM(BL25:BL42)</f>
        <v>0</v>
      </c>
      <c r="BM54" s="158">
        <f>SUM(BM25:BM45)</f>
        <v>0</v>
      </c>
      <c r="BN54" s="158">
        <f>SUM(BN25:BN45)</f>
        <v>0</v>
      </c>
      <c r="BO54" s="158">
        <f>SUM(BO25:BO51)</f>
        <v>11189725.02</v>
      </c>
      <c r="BP54" s="167">
        <f>SUM(BP25:BP51)</f>
        <v>37056726.889666669</v>
      </c>
      <c r="BQ54" s="167">
        <f>SUM(BQ25:BQ52)</f>
        <v>98147340.940333351</v>
      </c>
      <c r="BR54" s="224"/>
      <c r="BS54" s="224"/>
      <c r="BT54" s="195"/>
      <c r="BU54" s="195"/>
      <c r="BV54" s="195"/>
      <c r="BW54" s="195"/>
      <c r="BX54" s="195"/>
      <c r="BY54" s="195"/>
      <c r="BZ54" s="195"/>
      <c r="CA54" s="195"/>
      <c r="CB54" s="195"/>
      <c r="CC54" s="195"/>
      <c r="CD54" s="195"/>
      <c r="CE54" s="195"/>
      <c r="CF54" s="195"/>
      <c r="CG54" s="195"/>
      <c r="CH54" s="195"/>
      <c r="CI54" s="195"/>
      <c r="CJ54" s="195"/>
      <c r="CK54" s="195"/>
      <c r="CL54" s="195"/>
      <c r="CM54" s="195"/>
      <c r="CN54" s="195"/>
      <c r="CO54" s="195"/>
      <c r="CP54" s="195"/>
      <c r="CQ54" s="195"/>
      <c r="CR54" s="195"/>
      <c r="CS54" s="195"/>
      <c r="CT54" s="195"/>
      <c r="CU54" s="195"/>
      <c r="CV54" s="195"/>
      <c r="CW54" s="195"/>
      <c r="CX54" s="195"/>
      <c r="CY54" s="195"/>
      <c r="CZ54" s="195"/>
      <c r="DA54" s="195"/>
      <c r="DB54" s="195"/>
      <c r="DC54" s="195"/>
      <c r="DD54" s="195"/>
      <c r="DE54" s="195"/>
      <c r="DF54" s="195"/>
      <c r="DG54" s="195"/>
      <c r="DH54" s="195"/>
      <c r="DI54" s="195"/>
      <c r="DJ54" s="195"/>
      <c r="DK54" s="195"/>
      <c r="DL54" s="195"/>
      <c r="DM54" s="195"/>
      <c r="DN54" s="195"/>
      <c r="DO54" s="195"/>
      <c r="DP54" s="195"/>
      <c r="DQ54" s="195"/>
      <c r="DR54" s="195"/>
      <c r="DS54" s="195"/>
      <c r="DT54" s="195"/>
      <c r="DU54" s="195"/>
      <c r="DV54" s="195"/>
      <c r="DW54" s="195"/>
      <c r="DX54" s="195"/>
      <c r="DY54" s="195"/>
      <c r="DZ54" s="195"/>
      <c r="EA54" s="195"/>
      <c r="EB54" s="195"/>
      <c r="EC54" s="195"/>
      <c r="ED54" s="195"/>
      <c r="EE54" s="195"/>
      <c r="EF54" s="195"/>
      <c r="EG54" s="195"/>
      <c r="EH54" s="195"/>
      <c r="EI54" s="195"/>
      <c r="EJ54" s="195"/>
      <c r="EK54" s="195"/>
      <c r="EL54" s="195"/>
    </row>
    <row r="55" spans="1:142" x14ac:dyDescent="0.3">
      <c r="F55" s="82"/>
      <c r="AN55" s="20">
        <f>SUM(AC42:AN42)</f>
        <v>0</v>
      </c>
      <c r="AS55" s="20"/>
      <c r="BA55" s="20">
        <f>SUM(AP42:BA42)</f>
        <v>249162.65500000003</v>
      </c>
      <c r="BF55" s="20"/>
      <c r="BN55" s="20">
        <f>SUM(BC42:BN42)</f>
        <v>574991.63750000007</v>
      </c>
      <c r="BR55" s="224"/>
      <c r="BS55" s="224"/>
    </row>
    <row r="56" spans="1:142" ht="14.4" thickBot="1" x14ac:dyDescent="0.35">
      <c r="A56" s="1">
        <v>1540</v>
      </c>
      <c r="B56" s="5" t="s">
        <v>123</v>
      </c>
      <c r="BE56" s="20"/>
      <c r="BR56" s="224"/>
      <c r="BS56" s="224"/>
    </row>
    <row r="57" spans="1:142" ht="14.4" thickBot="1" x14ac:dyDescent="0.35">
      <c r="B57" s="236" t="s">
        <v>11</v>
      </c>
      <c r="C57" s="238" t="s">
        <v>0</v>
      </c>
      <c r="D57" s="27"/>
      <c r="E57" s="238" t="s">
        <v>1</v>
      </c>
      <c r="F57" s="240" t="s">
        <v>2</v>
      </c>
      <c r="G57" s="234" t="s">
        <v>3</v>
      </c>
      <c r="H57" s="234" t="s">
        <v>4</v>
      </c>
      <c r="I57" s="242" t="s">
        <v>5</v>
      </c>
      <c r="J57" s="240" t="s">
        <v>6</v>
      </c>
      <c r="K57" s="241" t="s">
        <v>7</v>
      </c>
      <c r="L57" s="232" t="s">
        <v>8</v>
      </c>
      <c r="M57" s="234" t="s">
        <v>9</v>
      </c>
      <c r="O57" s="229" t="s">
        <v>181</v>
      </c>
      <c r="P57" s="229">
        <v>43831</v>
      </c>
      <c r="Q57" s="229">
        <v>43862</v>
      </c>
      <c r="R57" s="229">
        <v>43891</v>
      </c>
      <c r="S57" s="229">
        <v>43922</v>
      </c>
      <c r="T57" s="229">
        <v>43952</v>
      </c>
      <c r="U57" s="229">
        <v>43983</v>
      </c>
      <c r="V57" s="229">
        <v>44013</v>
      </c>
      <c r="W57" s="229">
        <v>44044</v>
      </c>
      <c r="X57" s="229">
        <v>44075</v>
      </c>
      <c r="Y57" s="229">
        <v>44105</v>
      </c>
      <c r="Z57" s="229">
        <v>44136</v>
      </c>
      <c r="AA57" s="229">
        <v>44166</v>
      </c>
      <c r="AB57" s="229" t="s">
        <v>183</v>
      </c>
      <c r="AC57" s="229">
        <v>44197</v>
      </c>
      <c r="AD57" s="229">
        <v>44228</v>
      </c>
      <c r="AE57" s="229">
        <v>44256</v>
      </c>
      <c r="AF57" s="229">
        <v>44287</v>
      </c>
      <c r="AG57" s="229">
        <v>44317</v>
      </c>
      <c r="AH57" s="229">
        <v>44348</v>
      </c>
      <c r="AI57" s="229">
        <v>44378</v>
      </c>
      <c r="AJ57" s="229">
        <v>44409</v>
      </c>
      <c r="AK57" s="229">
        <v>44440</v>
      </c>
      <c r="AL57" s="229">
        <v>44470</v>
      </c>
      <c r="AM57" s="229">
        <v>44501</v>
      </c>
      <c r="AN57" s="229">
        <v>44531</v>
      </c>
      <c r="AO57" s="229" t="s">
        <v>184</v>
      </c>
      <c r="AP57" s="229">
        <v>44562</v>
      </c>
      <c r="AQ57" s="229">
        <v>44593</v>
      </c>
      <c r="AR57" s="229">
        <v>44621</v>
      </c>
      <c r="AS57" s="229">
        <v>44652</v>
      </c>
      <c r="AT57" s="229">
        <v>44682</v>
      </c>
      <c r="AU57" s="229">
        <v>44713</v>
      </c>
      <c r="AV57" s="229">
        <v>44743</v>
      </c>
      <c r="AW57" s="229">
        <v>44774</v>
      </c>
      <c r="AX57" s="229">
        <v>44805</v>
      </c>
      <c r="AY57" s="229">
        <v>44835</v>
      </c>
      <c r="AZ57" s="229">
        <v>44866</v>
      </c>
      <c r="BA57" s="229">
        <v>44896</v>
      </c>
      <c r="BB57" s="229" t="s">
        <v>185</v>
      </c>
      <c r="BC57" s="229">
        <v>44927</v>
      </c>
      <c r="BD57" s="229">
        <v>44958</v>
      </c>
      <c r="BE57" s="229">
        <v>44986</v>
      </c>
      <c r="BF57" s="229">
        <v>45017</v>
      </c>
      <c r="BG57" s="229">
        <v>45047</v>
      </c>
      <c r="BH57" s="229">
        <v>45078</v>
      </c>
      <c r="BI57" s="229">
        <v>45108</v>
      </c>
      <c r="BJ57" s="229">
        <v>45139</v>
      </c>
      <c r="BK57" s="229">
        <v>45170</v>
      </c>
      <c r="BL57" s="229">
        <v>45200</v>
      </c>
      <c r="BM57" s="229">
        <v>45231</v>
      </c>
      <c r="BN57" s="229">
        <v>45261</v>
      </c>
      <c r="BO57" s="229" t="s">
        <v>254</v>
      </c>
      <c r="BP57" s="229" t="s">
        <v>13</v>
      </c>
      <c r="BQ57" s="229" t="s">
        <v>182</v>
      </c>
      <c r="BR57" s="224"/>
      <c r="BS57" s="224"/>
    </row>
    <row r="58" spans="1:142" ht="14.4" thickBot="1" x14ac:dyDescent="0.35">
      <c r="B58" s="237"/>
      <c r="C58" s="239"/>
      <c r="D58" s="28" t="s">
        <v>16</v>
      </c>
      <c r="E58" s="239"/>
      <c r="F58" s="241"/>
      <c r="G58" s="235"/>
      <c r="H58" s="235"/>
      <c r="I58" s="243"/>
      <c r="J58" s="240"/>
      <c r="K58" s="244"/>
      <c r="L58" s="233"/>
      <c r="M58" s="235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0"/>
      <c r="AB58" s="230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0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0"/>
      <c r="BM58" s="230"/>
      <c r="BN58" s="230"/>
      <c r="BO58" s="230"/>
      <c r="BP58" s="230"/>
      <c r="BQ58" s="230"/>
      <c r="BR58" s="224"/>
      <c r="BS58" s="224"/>
    </row>
    <row r="59" spans="1:142" s="195" customFormat="1" ht="24" x14ac:dyDescent="0.3">
      <c r="A59" s="187"/>
      <c r="B59" s="188" t="s">
        <v>124</v>
      </c>
      <c r="C59" s="189">
        <v>44537</v>
      </c>
      <c r="D59" s="190" t="s">
        <v>119</v>
      </c>
      <c r="E59" s="191" t="s">
        <v>125</v>
      </c>
      <c r="F59" s="192">
        <v>11810237</v>
      </c>
      <c r="G59" s="192">
        <v>2243945</v>
      </c>
      <c r="H59" s="193">
        <v>0</v>
      </c>
      <c r="I59" s="194">
        <v>0.1</v>
      </c>
      <c r="J59" s="192">
        <v>10</v>
      </c>
      <c r="K59" s="192">
        <f>F59+G59+H59</f>
        <v>14054182</v>
      </c>
      <c r="L59" s="192"/>
      <c r="M59" s="192">
        <v>0</v>
      </c>
      <c r="O59" s="196">
        <v>0</v>
      </c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B59" s="196">
        <f>SUM(P59:AA59)+O59</f>
        <v>0</v>
      </c>
      <c r="AC59" s="198"/>
      <c r="AD59" s="198"/>
      <c r="AE59" s="198"/>
      <c r="AF59" s="198"/>
      <c r="AG59" s="198"/>
      <c r="AH59" s="198"/>
      <c r="AI59" s="198"/>
      <c r="AJ59" s="198"/>
      <c r="AK59" s="198"/>
      <c r="AL59" s="198"/>
      <c r="AM59" s="198"/>
      <c r="AN59" s="198">
        <f>$K$59*$I$59/12</f>
        <v>117118.18333333335</v>
      </c>
      <c r="AO59" s="199">
        <f>SUM(AC59:AN59)+600</f>
        <v>117718.18333333335</v>
      </c>
      <c r="AP59" s="203">
        <f>$K$59*$I$59/12</f>
        <v>117118.18333333335</v>
      </c>
      <c r="AQ59" s="203">
        <f t="shared" ref="AQ59:AV59" si="66">$K$59*$I$59/12</f>
        <v>117118.18333333335</v>
      </c>
      <c r="AR59" s="203">
        <f t="shared" si="66"/>
        <v>117118.18333333335</v>
      </c>
      <c r="AS59" s="203">
        <f t="shared" si="66"/>
        <v>117118.18333333335</v>
      </c>
      <c r="AT59" s="203">
        <f t="shared" si="66"/>
        <v>117118.18333333335</v>
      </c>
      <c r="AU59" s="203">
        <f t="shared" si="66"/>
        <v>117118.18333333335</v>
      </c>
      <c r="AV59" s="203">
        <f t="shared" si="66"/>
        <v>117118.18333333335</v>
      </c>
      <c r="AW59" s="203">
        <f>$K$59*$I$59/12</f>
        <v>117118.18333333335</v>
      </c>
      <c r="AX59" s="203">
        <f>$K$59*$I$59/12</f>
        <v>117118.18333333335</v>
      </c>
      <c r="AY59" s="203">
        <f>$K$59*$I$59/12</f>
        <v>117118.18333333335</v>
      </c>
      <c r="AZ59" s="203">
        <f>$K$59*$I$59/12</f>
        <v>117118.18333333335</v>
      </c>
      <c r="BA59" s="203">
        <f>$K$59*$I$59/12</f>
        <v>117118.18333333335</v>
      </c>
      <c r="BB59" s="199">
        <f>SUM(AP59:BA59)</f>
        <v>1405418.2000000002</v>
      </c>
      <c r="BC59" s="203">
        <f>$K$59*$I$59/12</f>
        <v>117118.18333333335</v>
      </c>
      <c r="BD59" s="203">
        <f>$K$59*$I$59/12</f>
        <v>117118.18333333335</v>
      </c>
      <c r="BE59" s="203">
        <f>$K$59*$I$59/12</f>
        <v>117118.18333333335</v>
      </c>
      <c r="BF59" s="203">
        <f>$K$59*$I$59/12</f>
        <v>117118.18333333335</v>
      </c>
      <c r="BG59" s="203">
        <f>$K$59*$I$59/12</f>
        <v>117118.18333333335</v>
      </c>
      <c r="BH59" s="203"/>
      <c r="BI59" s="203"/>
      <c r="BJ59" s="203"/>
      <c r="BK59" s="203"/>
      <c r="BL59" s="203"/>
      <c r="BM59" s="203"/>
      <c r="BN59" s="203"/>
      <c r="BO59" s="199">
        <f>SUM(BC59:BN59)</f>
        <v>585590.91666666674</v>
      </c>
      <c r="BP59" s="200">
        <f>+O59+AB59+AO59+BB59+BO59</f>
        <v>2108727.3000000003</v>
      </c>
      <c r="BQ59" s="200">
        <f t="shared" ref="BQ59" si="67">+K59-BP59</f>
        <v>11945454.699999999</v>
      </c>
      <c r="BR59" s="224"/>
      <c r="BS59" s="224"/>
    </row>
    <row r="60" spans="1:142" s="195" customFormat="1" x14ac:dyDescent="0.3">
      <c r="A60" s="187"/>
      <c r="B60" s="188" t="s">
        <v>155</v>
      </c>
      <c r="C60" s="189">
        <v>44870</v>
      </c>
      <c r="D60" s="190" t="s">
        <v>156</v>
      </c>
      <c r="E60" s="191" t="s">
        <v>157</v>
      </c>
      <c r="F60" s="192">
        <v>11409449</v>
      </c>
      <c r="G60" s="192">
        <f>2167795+912756</f>
        <v>3080551</v>
      </c>
      <c r="H60" s="193"/>
      <c r="I60" s="194">
        <v>0.1</v>
      </c>
      <c r="J60" s="192">
        <v>10</v>
      </c>
      <c r="K60" s="192">
        <f>F60+G60+H60</f>
        <v>14490000</v>
      </c>
      <c r="L60" s="192"/>
      <c r="M60" s="192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3">
        <v>100625</v>
      </c>
      <c r="BA60" s="203">
        <f>$K$60*$I$60/12</f>
        <v>120750</v>
      </c>
      <c r="BB60" s="199">
        <f>SUM(AP60:BA60)</f>
        <v>221375</v>
      </c>
      <c r="BC60" s="203">
        <f>$K$60*$I$60/12</f>
        <v>120750</v>
      </c>
      <c r="BD60" s="203">
        <f>$K$60*$I$60/12</f>
        <v>120750</v>
      </c>
      <c r="BE60" s="203">
        <f>$K$60*$I$60/12</f>
        <v>120750</v>
      </c>
      <c r="BF60" s="203">
        <f>$K$60*$I$60/12</f>
        <v>120750</v>
      </c>
      <c r="BG60" s="203">
        <f>$K$60*$I$60/12</f>
        <v>120750</v>
      </c>
      <c r="BH60" s="204"/>
      <c r="BI60" s="204"/>
      <c r="BJ60" s="204"/>
      <c r="BK60" s="204"/>
      <c r="BL60" s="204"/>
      <c r="BM60" s="203"/>
      <c r="BN60" s="203"/>
      <c r="BO60" s="199">
        <f>SUM(BC60:BN60)</f>
        <v>603750</v>
      </c>
      <c r="BP60" s="200">
        <f>+O60+AB60+AO60+BB60+BO60</f>
        <v>825125</v>
      </c>
      <c r="BQ60" s="200">
        <f>+K60-BP60</f>
        <v>13664875</v>
      </c>
      <c r="BR60" s="224"/>
      <c r="BS60" s="224"/>
    </row>
    <row r="61" spans="1:142" x14ac:dyDescent="0.3">
      <c r="B61" s="12"/>
      <c r="C61" s="64"/>
      <c r="D61" s="13"/>
      <c r="E61" s="8"/>
      <c r="F61" s="220"/>
      <c r="G61" s="220"/>
      <c r="H61" s="39"/>
      <c r="I61" s="67"/>
      <c r="J61" s="10"/>
      <c r="K61" s="10"/>
      <c r="L61" s="10"/>
      <c r="M61" s="10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24"/>
      <c r="BS61" s="224"/>
    </row>
    <row r="62" spans="1:142" s="162" customFormat="1" x14ac:dyDescent="0.3">
      <c r="A62" s="157"/>
      <c r="B62" s="168" t="s">
        <v>10</v>
      </c>
      <c r="C62" s="168"/>
      <c r="D62" s="168"/>
      <c r="E62" s="168"/>
      <c r="F62" s="158">
        <f>SUM(F59:F60)</f>
        <v>23219686</v>
      </c>
      <c r="G62" s="159">
        <f>SUM(G59:H60)</f>
        <v>5324496</v>
      </c>
      <c r="H62" s="160">
        <f>SUM(H59:H59)</f>
        <v>0</v>
      </c>
      <c r="I62" s="161"/>
      <c r="J62" s="159"/>
      <c r="K62" s="158">
        <f>SUM(K59:K59)</f>
        <v>14054182</v>
      </c>
      <c r="L62" s="159"/>
      <c r="M62" s="158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7">
        <f>SUM(AN59:AN60)</f>
        <v>117118.18333333335</v>
      </c>
      <c r="AO62" s="167">
        <f t="shared" ref="AO62" si="68">SUM(AO59:AO60)</f>
        <v>117718.18333333335</v>
      </c>
      <c r="AP62" s="186">
        <f>SUM(AP59:AP61)</f>
        <v>117118.18333333335</v>
      </c>
      <c r="AQ62" s="164"/>
      <c r="AR62" s="164"/>
      <c r="AS62" s="164"/>
      <c r="AT62" s="164"/>
      <c r="AU62" s="164"/>
      <c r="AV62" s="164"/>
      <c r="AW62" s="164"/>
      <c r="AX62" s="164"/>
      <c r="AY62" s="164"/>
      <c r="AZ62" s="186">
        <f>SUM(AZ59:AZ61)</f>
        <v>217743.18333333335</v>
      </c>
      <c r="BA62" s="167">
        <f>SUM(BA59:BA60)</f>
        <v>237868.18333333335</v>
      </c>
      <c r="BB62" s="167">
        <f t="shared" ref="BB62" si="69">SUM(BB59:BB60)</f>
        <v>1626793.2000000002</v>
      </c>
      <c r="BC62" s="186">
        <f>SUM(BC59:BC61)</f>
        <v>237868.18333333335</v>
      </c>
      <c r="BD62" s="223">
        <f>SUBTOTAL(9,BD59:BD61)</f>
        <v>237868.18333333335</v>
      </c>
      <c r="BE62" s="227">
        <f>SUBTOTAL(9,BE59:BE61)</f>
        <v>237868.18333333335</v>
      </c>
      <c r="BF62" s="227">
        <f>SUBTOTAL(9,BF59:BF61)</f>
        <v>237868.18333333335</v>
      </c>
      <c r="BG62" s="227">
        <f>SUBTOTAL(9,BG59:BG61)</f>
        <v>237868.18333333335</v>
      </c>
      <c r="BH62" s="164"/>
      <c r="BI62" s="164"/>
      <c r="BJ62" s="164"/>
      <c r="BK62" s="164"/>
      <c r="BL62" s="164"/>
      <c r="BM62" s="186">
        <f>SUM(BM59:BM61)</f>
        <v>0</v>
      </c>
      <c r="BN62" s="167">
        <f>SUM(BN59:BN60)</f>
        <v>0</v>
      </c>
      <c r="BO62" s="167">
        <f>SUM(BO59:BO60)</f>
        <v>1189340.9166666667</v>
      </c>
      <c r="BP62" s="167">
        <f>SUM(BP59:BP61)</f>
        <v>2933852.3000000003</v>
      </c>
      <c r="BQ62" s="167">
        <f>SUM(BQ59:BQ61)</f>
        <v>25610329.699999999</v>
      </c>
      <c r="BR62" s="224"/>
      <c r="BS62" s="224"/>
      <c r="BT62" s="195"/>
      <c r="BU62" s="195"/>
      <c r="BV62" s="195"/>
      <c r="BW62" s="195"/>
      <c r="BX62" s="195"/>
      <c r="BY62" s="195"/>
      <c r="BZ62" s="195"/>
      <c r="CA62" s="195"/>
      <c r="CB62" s="195"/>
      <c r="CC62" s="195"/>
      <c r="CD62" s="195"/>
      <c r="CE62" s="195"/>
      <c r="CF62" s="195"/>
      <c r="CG62" s="195"/>
      <c r="CH62" s="195"/>
      <c r="CI62" s="195"/>
      <c r="CJ62" s="195"/>
      <c r="CK62" s="195"/>
      <c r="CL62" s="195"/>
      <c r="CM62" s="195"/>
      <c r="CN62" s="195"/>
      <c r="CO62" s="195"/>
      <c r="CP62" s="195"/>
      <c r="CQ62" s="195"/>
      <c r="CR62" s="195"/>
      <c r="CS62" s="195"/>
      <c r="CT62" s="195"/>
      <c r="CU62" s="195"/>
      <c r="CV62" s="195"/>
      <c r="CW62" s="195"/>
      <c r="CX62" s="195"/>
      <c r="CY62" s="195"/>
      <c r="CZ62" s="195"/>
      <c r="DA62" s="195"/>
      <c r="DB62" s="195"/>
      <c r="DC62" s="195"/>
      <c r="DD62" s="195"/>
      <c r="DE62" s="195"/>
      <c r="DF62" s="195"/>
      <c r="DG62" s="195"/>
      <c r="DH62" s="195"/>
      <c r="DI62" s="195"/>
      <c r="DJ62" s="195"/>
      <c r="DK62" s="195"/>
      <c r="DL62" s="195"/>
      <c r="DM62" s="195"/>
      <c r="DN62" s="195"/>
      <c r="DO62" s="195"/>
      <c r="DP62" s="195"/>
      <c r="DQ62" s="195"/>
      <c r="DR62" s="195"/>
      <c r="DS62" s="195"/>
      <c r="DT62" s="195"/>
      <c r="DU62" s="195"/>
      <c r="DV62" s="195"/>
      <c r="DW62" s="195"/>
      <c r="DX62" s="195"/>
      <c r="DY62" s="195"/>
      <c r="DZ62" s="195"/>
      <c r="EA62" s="195"/>
      <c r="EB62" s="195"/>
      <c r="EC62" s="195"/>
      <c r="ED62" s="195"/>
      <c r="EE62" s="195"/>
      <c r="EF62" s="195"/>
      <c r="EG62" s="195"/>
      <c r="EH62" s="195"/>
      <c r="EI62" s="195"/>
      <c r="EJ62" s="195"/>
      <c r="EK62" s="195"/>
      <c r="EL62" s="195"/>
    </row>
    <row r="63" spans="1:142" ht="14.4" thickBot="1" x14ac:dyDescent="0.35">
      <c r="B63" s="140" t="s">
        <v>158</v>
      </c>
      <c r="BA63" s="20"/>
      <c r="BN63" s="20"/>
      <c r="BR63" s="224"/>
      <c r="BS63" s="224"/>
      <c r="CG63" s="221">
        <v>300000000</v>
      </c>
    </row>
    <row r="64" spans="1:142" ht="14.4" thickBot="1" x14ac:dyDescent="0.35">
      <c r="B64" s="236" t="s">
        <v>11</v>
      </c>
      <c r="C64" s="238" t="s">
        <v>0</v>
      </c>
      <c r="D64" s="27"/>
      <c r="E64" s="238" t="s">
        <v>1</v>
      </c>
      <c r="F64" s="240" t="s">
        <v>2</v>
      </c>
      <c r="G64" s="234" t="s">
        <v>3</v>
      </c>
      <c r="H64" s="234" t="s">
        <v>4</v>
      </c>
      <c r="I64" s="242" t="s">
        <v>5</v>
      </c>
      <c r="J64" s="240" t="s">
        <v>6</v>
      </c>
      <c r="K64" s="241" t="s">
        <v>7</v>
      </c>
      <c r="L64" s="232" t="s">
        <v>8</v>
      </c>
      <c r="M64" s="234" t="s">
        <v>9</v>
      </c>
      <c r="O64" s="229" t="s">
        <v>181</v>
      </c>
      <c r="P64" s="229">
        <v>43831</v>
      </c>
      <c r="Q64" s="229">
        <v>43862</v>
      </c>
      <c r="R64" s="229">
        <v>43891</v>
      </c>
      <c r="S64" s="229">
        <v>43922</v>
      </c>
      <c r="T64" s="229">
        <v>43952</v>
      </c>
      <c r="U64" s="229">
        <v>43983</v>
      </c>
      <c r="V64" s="229">
        <v>44013</v>
      </c>
      <c r="W64" s="229">
        <v>44044</v>
      </c>
      <c r="X64" s="229">
        <v>44075</v>
      </c>
      <c r="Y64" s="229">
        <v>44105</v>
      </c>
      <c r="Z64" s="229">
        <v>44136</v>
      </c>
      <c r="AA64" s="229">
        <v>44166</v>
      </c>
      <c r="AB64" s="229" t="s">
        <v>183</v>
      </c>
      <c r="AC64" s="229">
        <v>44197</v>
      </c>
      <c r="AD64" s="229">
        <v>44228</v>
      </c>
      <c r="AE64" s="229">
        <v>44256</v>
      </c>
      <c r="AF64" s="229">
        <v>44287</v>
      </c>
      <c r="AG64" s="229">
        <v>44317</v>
      </c>
      <c r="AH64" s="229">
        <v>44348</v>
      </c>
      <c r="AI64" s="229">
        <v>44378</v>
      </c>
      <c r="AJ64" s="229">
        <v>44409</v>
      </c>
      <c r="AK64" s="229">
        <v>44440</v>
      </c>
      <c r="AL64" s="229">
        <v>44470</v>
      </c>
      <c r="AM64" s="229">
        <v>44501</v>
      </c>
      <c r="AN64" s="229">
        <v>44531</v>
      </c>
      <c r="AO64" s="229" t="s">
        <v>184</v>
      </c>
      <c r="AP64" s="229">
        <v>44562</v>
      </c>
      <c r="AQ64" s="229">
        <v>44593</v>
      </c>
      <c r="AR64" s="229">
        <v>44621</v>
      </c>
      <c r="AS64" s="229">
        <v>44652</v>
      </c>
      <c r="AT64" s="229">
        <v>44682</v>
      </c>
      <c r="AU64" s="229">
        <v>44713</v>
      </c>
      <c r="AV64" s="229">
        <v>44743</v>
      </c>
      <c r="AW64" s="229">
        <v>44774</v>
      </c>
      <c r="AX64" s="229">
        <v>44805</v>
      </c>
      <c r="AY64" s="229">
        <v>44835</v>
      </c>
      <c r="AZ64" s="229">
        <v>44866</v>
      </c>
      <c r="BA64" s="229">
        <v>44896</v>
      </c>
      <c r="BB64" s="229" t="s">
        <v>185</v>
      </c>
      <c r="BC64" s="229">
        <v>44927</v>
      </c>
      <c r="BD64" s="229">
        <v>44958</v>
      </c>
      <c r="BE64" s="229">
        <v>44986</v>
      </c>
      <c r="BF64" s="229">
        <v>45017</v>
      </c>
      <c r="BG64" s="229">
        <v>45047</v>
      </c>
      <c r="BH64" s="229">
        <v>45078</v>
      </c>
      <c r="BI64" s="229">
        <v>45108</v>
      </c>
      <c r="BJ64" s="229">
        <v>45139</v>
      </c>
      <c r="BK64" s="229">
        <v>45170</v>
      </c>
      <c r="BL64" s="229">
        <v>45200</v>
      </c>
      <c r="BM64" s="229">
        <v>45231</v>
      </c>
      <c r="BN64" s="229">
        <v>45261</v>
      </c>
      <c r="BO64" s="229" t="s">
        <v>254</v>
      </c>
      <c r="BP64" s="229" t="s">
        <v>13</v>
      </c>
      <c r="BQ64" s="229" t="s">
        <v>182</v>
      </c>
      <c r="BR64" s="224"/>
      <c r="BS64" s="224"/>
      <c r="CG64" s="222">
        <f>+CG63/36</f>
        <v>8333333.333333333</v>
      </c>
      <c r="CH64" s="221">
        <f>+CG64*2.4%</f>
        <v>200000</v>
      </c>
    </row>
    <row r="65" spans="1:142" ht="14.4" thickBot="1" x14ac:dyDescent="0.35">
      <c r="B65" s="237"/>
      <c r="C65" s="239"/>
      <c r="D65" s="28" t="s">
        <v>16</v>
      </c>
      <c r="E65" s="239"/>
      <c r="F65" s="241"/>
      <c r="G65" s="235"/>
      <c r="H65" s="235"/>
      <c r="I65" s="243"/>
      <c r="J65" s="240"/>
      <c r="K65" s="244"/>
      <c r="L65" s="233"/>
      <c r="M65" s="235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0"/>
      <c r="AB65" s="230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0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24"/>
      <c r="BS65" s="224"/>
    </row>
    <row r="66" spans="1:142" s="195" customFormat="1" ht="48" x14ac:dyDescent="0.3">
      <c r="A66" s="187"/>
      <c r="B66" s="188" t="s">
        <v>159</v>
      </c>
      <c r="C66" s="189">
        <v>44887</v>
      </c>
      <c r="D66" s="190" t="s">
        <v>160</v>
      </c>
      <c r="E66" s="191" t="s">
        <v>161</v>
      </c>
      <c r="F66" s="192">
        <f>1255386+1966310</f>
        <v>3221696</v>
      </c>
      <c r="G66" s="192">
        <v>612122</v>
      </c>
      <c r="H66" s="193">
        <v>0</v>
      </c>
      <c r="I66" s="194">
        <v>0.1</v>
      </c>
      <c r="J66" s="192">
        <v>10</v>
      </c>
      <c r="K66" s="192">
        <f>F66+G66+H66</f>
        <v>3833818</v>
      </c>
      <c r="L66" s="192"/>
      <c r="M66" s="192">
        <v>0</v>
      </c>
      <c r="O66" s="196">
        <v>0</v>
      </c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B66" s="196">
        <f>SUM(P66:AA66)+O66</f>
        <v>0</v>
      </c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9">
        <f t="shared" ref="AO66" si="70">SUM(AC66:AN66)</f>
        <v>0</v>
      </c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>
        <f>$K$66*$I$66/12</f>
        <v>31948.483333333337</v>
      </c>
      <c r="BA66" s="198">
        <f>$K$66*$I$66/12</f>
        <v>31948.483333333337</v>
      </c>
      <c r="BB66" s="199">
        <f>SUM(AP66:BA66)</f>
        <v>63896.966666666674</v>
      </c>
      <c r="BC66" s="218">
        <f>$K$66*$I$66/12</f>
        <v>31948.483333333337</v>
      </c>
      <c r="BD66" s="218">
        <f>$K$66*$I$66/12</f>
        <v>31948.483333333337</v>
      </c>
      <c r="BE66" s="218">
        <f>$K$66*$I$66/12</f>
        <v>31948.483333333337</v>
      </c>
      <c r="BF66" s="218">
        <f>$K$66*$I$66/12</f>
        <v>31948.483333333337</v>
      </c>
      <c r="BG66" s="218">
        <f>$K$66*$I$66/12</f>
        <v>31948.483333333337</v>
      </c>
      <c r="BH66" s="218"/>
      <c r="BI66" s="218"/>
      <c r="BJ66" s="218"/>
      <c r="BK66" s="218"/>
      <c r="BL66" s="218"/>
      <c r="BM66" s="218"/>
      <c r="BN66" s="218"/>
      <c r="BO66" s="199">
        <f>SUM(BC66:BN66)</f>
        <v>159742.41666666669</v>
      </c>
      <c r="BP66" s="200">
        <f>+O66+AB66+AO66+BB66+BO66</f>
        <v>223639.38333333336</v>
      </c>
      <c r="BQ66" s="200">
        <f t="shared" ref="BQ66" si="71">+K66-BP66</f>
        <v>3610178.6166666667</v>
      </c>
      <c r="BR66" s="224"/>
      <c r="BS66" s="224"/>
    </row>
    <row r="67" spans="1:142" s="195" customFormat="1" x14ac:dyDescent="0.3">
      <c r="A67" s="187"/>
      <c r="B67" s="188" t="s">
        <v>168</v>
      </c>
      <c r="C67" s="189">
        <v>44895</v>
      </c>
      <c r="D67" s="190" t="s">
        <v>170</v>
      </c>
      <c r="E67" s="191" t="s">
        <v>169</v>
      </c>
      <c r="F67" s="192">
        <v>9660000</v>
      </c>
      <c r="G67" s="192">
        <v>0</v>
      </c>
      <c r="H67" s="202" t="s">
        <v>171</v>
      </c>
      <c r="I67" s="194">
        <v>0.1</v>
      </c>
      <c r="J67" s="192">
        <v>10</v>
      </c>
      <c r="K67" s="192">
        <f>+F67+G67</f>
        <v>9660000</v>
      </c>
      <c r="L67" s="192"/>
      <c r="M67" s="192"/>
      <c r="O67" s="196">
        <v>0</v>
      </c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B67" s="196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9">
        <f>SUM(AC67:AN67)</f>
        <v>0</v>
      </c>
      <c r="AP67" s="198"/>
      <c r="AQ67" s="198"/>
      <c r="AR67" s="198"/>
      <c r="AS67" s="198"/>
      <c r="AT67" s="198"/>
      <c r="AU67" s="198"/>
      <c r="AV67" s="198"/>
      <c r="AW67" s="198"/>
      <c r="AX67" s="198"/>
      <c r="AY67" s="198"/>
      <c r="AZ67" s="198"/>
      <c r="BA67" s="198">
        <f>$K$67*$I$67/12</f>
        <v>80500</v>
      </c>
      <c r="BB67" s="199">
        <f>SUM(AP67:BA67)</f>
        <v>80500</v>
      </c>
      <c r="BC67" s="218">
        <f>$K$67*$I$67/12</f>
        <v>80500</v>
      </c>
      <c r="BD67" s="218">
        <f>$K$67*$I$67/12</f>
        <v>80500</v>
      </c>
      <c r="BE67" s="218">
        <f>$K$67*$I$67/12</f>
        <v>80500</v>
      </c>
      <c r="BF67" s="218">
        <f>$K$67*$I$67/12</f>
        <v>80500</v>
      </c>
      <c r="BG67" s="218">
        <f>$K$67*$I$67/12</f>
        <v>80500</v>
      </c>
      <c r="BH67" s="218"/>
      <c r="BI67" s="218"/>
      <c r="BJ67" s="218"/>
      <c r="BK67" s="218"/>
      <c r="BL67" s="218"/>
      <c r="BM67" s="218"/>
      <c r="BN67" s="218"/>
      <c r="BO67" s="199">
        <f>SUM(BC67:BN67)</f>
        <v>402500</v>
      </c>
      <c r="BP67" s="200">
        <f>+O67+AB67+AO67+BB67+BO67</f>
        <v>483000</v>
      </c>
      <c r="BQ67" s="200">
        <f>+K67-BP67</f>
        <v>9177000</v>
      </c>
      <c r="BR67" s="224"/>
      <c r="BS67" s="224"/>
    </row>
    <row r="68" spans="1:142" s="195" customFormat="1" hidden="1" x14ac:dyDescent="0.3">
      <c r="A68" s="187"/>
      <c r="B68" s="188" t="s">
        <v>248</v>
      </c>
      <c r="C68" s="189">
        <v>44920</v>
      </c>
      <c r="D68" s="190"/>
      <c r="E68" s="191"/>
      <c r="F68" s="192">
        <v>222605.04</v>
      </c>
      <c r="G68" s="192">
        <v>42294.96</v>
      </c>
      <c r="H68" s="202"/>
      <c r="I68" s="194">
        <v>1</v>
      </c>
      <c r="J68" s="192">
        <v>1</v>
      </c>
      <c r="K68" s="192">
        <f>F68+G68+H68</f>
        <v>264900</v>
      </c>
      <c r="L68" s="192"/>
      <c r="M68" s="192"/>
      <c r="O68" s="196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B68" s="196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9"/>
      <c r="AP68" s="198"/>
      <c r="AQ68" s="198"/>
      <c r="AR68" s="198"/>
      <c r="AS68" s="198"/>
      <c r="AT68" s="198"/>
      <c r="AU68" s="198"/>
      <c r="AV68" s="198"/>
      <c r="AW68" s="198"/>
      <c r="AX68" s="198"/>
      <c r="AY68" s="198"/>
      <c r="AZ68" s="198"/>
      <c r="BA68" s="198">
        <f>+K68</f>
        <v>264900</v>
      </c>
      <c r="BB68" s="199">
        <f>SUM(AP68:BA68)</f>
        <v>264900</v>
      </c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18"/>
      <c r="BN68" s="218">
        <f>+X68</f>
        <v>0</v>
      </c>
      <c r="BO68" s="199">
        <f t="shared" ref="BO68:BO74" si="72">SUM(BC68:BN68)</f>
        <v>0</v>
      </c>
      <c r="BP68" s="200">
        <f t="shared" ref="BP68:BP70" si="73">+O68+AB68+AO68+BB68+BO68</f>
        <v>264900</v>
      </c>
      <c r="BQ68" s="200">
        <f t="shared" ref="BQ68" si="74">+K68-BP68</f>
        <v>0</v>
      </c>
    </row>
    <row r="69" spans="1:142" s="195" customFormat="1" ht="24" hidden="1" x14ac:dyDescent="0.3">
      <c r="A69" s="187"/>
      <c r="B69" s="188" t="s">
        <v>255</v>
      </c>
      <c r="C69" s="189">
        <v>44937</v>
      </c>
      <c r="D69" s="190" t="s">
        <v>264</v>
      </c>
      <c r="E69" s="191"/>
      <c r="F69" s="192">
        <v>1341178</v>
      </c>
      <c r="G69" s="192">
        <v>254823.82</v>
      </c>
      <c r="H69" s="202"/>
      <c r="I69" s="194">
        <v>1</v>
      </c>
      <c r="J69" s="192"/>
      <c r="K69" s="192">
        <f t="shared" ref="K69:K74" si="75">+F69+G69</f>
        <v>1596001.82</v>
      </c>
      <c r="L69" s="192" t="s">
        <v>143</v>
      </c>
      <c r="M69" s="192"/>
      <c r="O69" s="196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B69" s="196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9"/>
      <c r="AP69" s="198"/>
      <c r="AQ69" s="198"/>
      <c r="AR69" s="198"/>
      <c r="AS69" s="198"/>
      <c r="AT69" s="198"/>
      <c r="AU69" s="198"/>
      <c r="AV69" s="198"/>
      <c r="AW69" s="198"/>
      <c r="AX69" s="198"/>
      <c r="AY69" s="198"/>
      <c r="AZ69" s="198"/>
      <c r="BA69" s="198"/>
      <c r="BB69" s="199"/>
      <c r="BC69" s="218">
        <f>$K$69*$I$69</f>
        <v>1596001.82</v>
      </c>
      <c r="BD69" s="218">
        <v>0</v>
      </c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199">
        <f t="shared" si="72"/>
        <v>1596001.82</v>
      </c>
      <c r="BP69" s="200">
        <f t="shared" si="73"/>
        <v>1596001.82</v>
      </c>
      <c r="BQ69" s="200">
        <f>+K69-BP69</f>
        <v>0</v>
      </c>
    </row>
    <row r="70" spans="1:142" s="195" customFormat="1" ht="24" hidden="1" x14ac:dyDescent="0.3">
      <c r="A70" s="187"/>
      <c r="B70" s="188" t="s">
        <v>269</v>
      </c>
      <c r="C70" s="189">
        <v>45003</v>
      </c>
      <c r="D70" s="190"/>
      <c r="E70" s="191"/>
      <c r="F70" s="192">
        <v>336675</v>
      </c>
      <c r="G70" s="192">
        <v>63968.25</v>
      </c>
      <c r="H70" s="202"/>
      <c r="I70" s="194">
        <v>1</v>
      </c>
      <c r="J70" s="192"/>
      <c r="K70" s="192">
        <f t="shared" si="75"/>
        <v>400643.25</v>
      </c>
      <c r="L70" s="192"/>
      <c r="M70" s="192"/>
      <c r="O70" s="196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B70" s="196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9"/>
      <c r="AP70" s="198"/>
      <c r="AQ70" s="198"/>
      <c r="AR70" s="198"/>
      <c r="AS70" s="198"/>
      <c r="AT70" s="198"/>
      <c r="AU70" s="198"/>
      <c r="AV70" s="198"/>
      <c r="AW70" s="198"/>
      <c r="AX70" s="198"/>
      <c r="AY70" s="198"/>
      <c r="AZ70" s="198"/>
      <c r="BA70" s="198"/>
      <c r="BB70" s="199"/>
      <c r="BC70" s="218"/>
      <c r="BD70" s="218"/>
      <c r="BE70" s="218">
        <f>+K70</f>
        <v>400643.25</v>
      </c>
      <c r="BF70" s="218"/>
      <c r="BG70" s="218"/>
      <c r="BH70" s="218"/>
      <c r="BI70" s="218"/>
      <c r="BJ70" s="218"/>
      <c r="BK70" s="218"/>
      <c r="BL70" s="218"/>
      <c r="BM70" s="218"/>
      <c r="BN70" s="218"/>
      <c r="BO70" s="199">
        <f t="shared" si="72"/>
        <v>400643.25</v>
      </c>
      <c r="BP70" s="200">
        <f t="shared" si="73"/>
        <v>400643.25</v>
      </c>
      <c r="BQ70" s="200">
        <f>+K70-BP70</f>
        <v>0</v>
      </c>
    </row>
    <row r="71" spans="1:142" s="195" customFormat="1" ht="24" x14ac:dyDescent="0.3">
      <c r="A71" s="187"/>
      <c r="B71" s="188" t="s">
        <v>265</v>
      </c>
      <c r="C71" s="189">
        <v>45006</v>
      </c>
      <c r="D71" s="190"/>
      <c r="E71" s="191"/>
      <c r="F71" s="192">
        <v>1680588</v>
      </c>
      <c r="G71" s="192">
        <f>+F71*19%</f>
        <v>319311.72000000003</v>
      </c>
      <c r="H71" s="202"/>
      <c r="I71" s="194">
        <v>0.1</v>
      </c>
      <c r="J71" s="192">
        <v>10</v>
      </c>
      <c r="K71" s="192">
        <f t="shared" si="75"/>
        <v>1999899.72</v>
      </c>
      <c r="L71" s="192"/>
      <c r="M71" s="192"/>
      <c r="O71" s="196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B71" s="196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9"/>
      <c r="AP71" s="198"/>
      <c r="AQ71" s="198"/>
      <c r="AR71" s="198"/>
      <c r="AS71" s="198"/>
      <c r="AT71" s="198"/>
      <c r="AU71" s="198"/>
      <c r="AV71" s="198"/>
      <c r="AW71" s="198"/>
      <c r="AX71" s="198"/>
      <c r="AY71" s="198"/>
      <c r="AZ71" s="198"/>
      <c r="BA71" s="198"/>
      <c r="BB71" s="199"/>
      <c r="BC71" s="218"/>
      <c r="BD71" s="218"/>
      <c r="BE71" s="218">
        <f>$K$71*$I$71/12</f>
        <v>16665.831000000002</v>
      </c>
      <c r="BF71" s="218">
        <f>$K$71*$I$71/12</f>
        <v>16665.831000000002</v>
      </c>
      <c r="BG71" s="218">
        <f>$K$71*$I$71/12</f>
        <v>16665.831000000002</v>
      </c>
      <c r="BH71" s="218"/>
      <c r="BI71" s="218"/>
      <c r="BJ71" s="218"/>
      <c r="BK71" s="218"/>
      <c r="BL71" s="218"/>
      <c r="BM71" s="218"/>
      <c r="BN71" s="218"/>
      <c r="BO71" s="199">
        <f t="shared" si="72"/>
        <v>49997.493000000002</v>
      </c>
      <c r="BP71" s="200">
        <f t="shared" ref="BP71:BP74" si="76">+O71+AB71+AO71+BB71+BO71</f>
        <v>49997.493000000002</v>
      </c>
      <c r="BQ71" s="200">
        <f>+K71-BP71</f>
        <v>1949902.227</v>
      </c>
    </row>
    <row r="72" spans="1:142" s="195" customFormat="1" hidden="1" x14ac:dyDescent="0.3">
      <c r="A72" s="187"/>
      <c r="B72" s="188" t="s">
        <v>266</v>
      </c>
      <c r="C72" s="189">
        <v>45015</v>
      </c>
      <c r="D72" s="190"/>
      <c r="E72" s="191" t="s">
        <v>267</v>
      </c>
      <c r="F72" s="192">
        <v>600000</v>
      </c>
      <c r="G72" s="192">
        <f>+F72*19%</f>
        <v>114000</v>
      </c>
      <c r="H72" s="202"/>
      <c r="I72" s="194"/>
      <c r="J72" s="192"/>
      <c r="K72" s="192">
        <f t="shared" si="75"/>
        <v>714000</v>
      </c>
      <c r="L72" s="192"/>
      <c r="M72" s="192"/>
      <c r="O72" s="196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B72" s="196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9"/>
      <c r="AP72" s="198"/>
      <c r="AQ72" s="198"/>
      <c r="AR72" s="198"/>
      <c r="AS72" s="198"/>
      <c r="AT72" s="198"/>
      <c r="AU72" s="198"/>
      <c r="AV72" s="198"/>
      <c r="AW72" s="198"/>
      <c r="AX72" s="198"/>
      <c r="AY72" s="198"/>
      <c r="AZ72" s="198"/>
      <c r="BA72" s="198"/>
      <c r="BB72" s="199"/>
      <c r="BC72" s="218"/>
      <c r="BD72" s="218"/>
      <c r="BE72" s="218"/>
      <c r="BF72" s="218">
        <f>+K72</f>
        <v>714000</v>
      </c>
      <c r="BG72" s="218"/>
      <c r="BH72" s="218"/>
      <c r="BI72" s="218"/>
      <c r="BJ72" s="218"/>
      <c r="BK72" s="218"/>
      <c r="BL72" s="218"/>
      <c r="BM72" s="218"/>
      <c r="BN72" s="218"/>
      <c r="BO72" s="199">
        <f t="shared" si="72"/>
        <v>714000</v>
      </c>
      <c r="BP72" s="200">
        <f t="shared" si="76"/>
        <v>714000</v>
      </c>
      <c r="BQ72" s="200">
        <f>+K72-BP72</f>
        <v>0</v>
      </c>
    </row>
    <row r="73" spans="1:142" s="195" customFormat="1" hidden="1" x14ac:dyDescent="0.3">
      <c r="A73" s="187"/>
      <c r="B73" s="188" t="s">
        <v>266</v>
      </c>
      <c r="C73" s="189">
        <v>45015</v>
      </c>
      <c r="D73" s="191" t="s">
        <v>267</v>
      </c>
      <c r="E73" s="191" t="s">
        <v>267</v>
      </c>
      <c r="F73" s="192">
        <v>600000</v>
      </c>
      <c r="G73" s="192">
        <f>+F73*19%</f>
        <v>114000</v>
      </c>
      <c r="H73" s="192"/>
      <c r="I73" s="192"/>
      <c r="J73" s="192"/>
      <c r="K73" s="192">
        <f t="shared" si="75"/>
        <v>714000</v>
      </c>
      <c r="L73" s="192"/>
      <c r="M73" s="192"/>
      <c r="O73" s="196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B73" s="196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9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9"/>
      <c r="BC73" s="218"/>
      <c r="BD73" s="218"/>
      <c r="BE73" s="218"/>
      <c r="BF73" s="218">
        <f>+K73</f>
        <v>714000</v>
      </c>
      <c r="BG73" s="218"/>
      <c r="BH73" s="218"/>
      <c r="BI73" s="218"/>
      <c r="BJ73" s="218"/>
      <c r="BK73" s="218"/>
      <c r="BL73" s="218"/>
      <c r="BM73" s="218"/>
      <c r="BN73" s="218"/>
      <c r="BO73" s="199">
        <f t="shared" si="72"/>
        <v>714000</v>
      </c>
      <c r="BP73" s="200">
        <f t="shared" si="76"/>
        <v>714000</v>
      </c>
      <c r="BQ73" s="200">
        <f>+K73-BP73</f>
        <v>0</v>
      </c>
      <c r="BU73" s="226"/>
    </row>
    <row r="74" spans="1:142" s="195" customFormat="1" ht="24" hidden="1" x14ac:dyDescent="0.3">
      <c r="A74" s="187"/>
      <c r="B74" s="188" t="s">
        <v>268</v>
      </c>
      <c r="C74" s="189">
        <v>45015</v>
      </c>
      <c r="D74" s="190"/>
      <c r="E74" s="191" t="s">
        <v>267</v>
      </c>
      <c r="F74" s="192">
        <v>285714</v>
      </c>
      <c r="G74" s="192">
        <f>+F74*19%</f>
        <v>54285.66</v>
      </c>
      <c r="H74" s="202"/>
      <c r="I74" s="194"/>
      <c r="J74" s="192"/>
      <c r="K74" s="192">
        <f t="shared" si="75"/>
        <v>339999.66000000003</v>
      </c>
      <c r="L74" s="192"/>
      <c r="M74" s="192"/>
      <c r="O74" s="196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B74" s="196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9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9"/>
      <c r="BC74" s="218"/>
      <c r="BD74" s="218"/>
      <c r="BE74" s="218"/>
      <c r="BF74" s="218">
        <f>+K74</f>
        <v>339999.66000000003</v>
      </c>
      <c r="BG74" s="218"/>
      <c r="BH74" s="218"/>
      <c r="BI74" s="218"/>
      <c r="BJ74" s="218"/>
      <c r="BK74" s="218"/>
      <c r="BL74" s="218"/>
      <c r="BM74" s="218"/>
      <c r="BN74" s="218"/>
      <c r="BO74" s="199">
        <f t="shared" si="72"/>
        <v>339999.66000000003</v>
      </c>
      <c r="BP74" s="200">
        <f t="shared" si="76"/>
        <v>339999.66000000003</v>
      </c>
      <c r="BQ74" s="200">
        <f t="shared" ref="BQ74" si="77">+K74-BP74</f>
        <v>0</v>
      </c>
      <c r="BU74" s="226"/>
    </row>
    <row r="75" spans="1:142" s="162" customFormat="1" x14ac:dyDescent="0.3">
      <c r="A75" s="157"/>
      <c r="B75" s="168" t="s">
        <v>10</v>
      </c>
      <c r="C75" s="168"/>
      <c r="D75" s="168"/>
      <c r="E75" s="168"/>
      <c r="F75" s="158">
        <f>SUM(F66:F68)</f>
        <v>13104301.039999999</v>
      </c>
      <c r="G75" s="159">
        <f>SUM(G66:G69)</f>
        <v>909240.78</v>
      </c>
      <c r="H75" s="160">
        <f>SUM(H66:H66)</f>
        <v>0</v>
      </c>
      <c r="I75" s="161"/>
      <c r="J75" s="159"/>
      <c r="K75" s="158">
        <f>SUM(K66:K68)</f>
        <v>13758718</v>
      </c>
      <c r="L75" s="159"/>
      <c r="M75" s="158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7">
        <f>SUM(AN66:AN66)</f>
        <v>0</v>
      </c>
      <c r="AO75" s="167">
        <f>SUM(AO66:AO66)</f>
        <v>0</v>
      </c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86">
        <f>SUM(AZ66:AZ68)</f>
        <v>31948.483333333337</v>
      </c>
      <c r="BA75" s="167">
        <f>SUM(BA66:BA68)</f>
        <v>377348.48333333334</v>
      </c>
      <c r="BB75" s="167">
        <f>SUM(BB66:BB67)</f>
        <v>144396.96666666667</v>
      </c>
      <c r="BC75" s="186">
        <f>SUM(BC66:BC69)</f>
        <v>1708450.3033333335</v>
      </c>
      <c r="BD75" s="223">
        <f>SUBTOTAL(9,BD66:BD69)</f>
        <v>112448.48333333334</v>
      </c>
      <c r="BE75" s="227">
        <f>SUBTOTAL(9,BE66:BE74)</f>
        <v>129114.31433333334</v>
      </c>
      <c r="BF75" s="227">
        <f>SUBTOTAL(9,BF66:BF74)</f>
        <v>129114.31433333334</v>
      </c>
      <c r="BG75" s="227">
        <f>SUBTOTAL(9,BG66:BG74)</f>
        <v>129114.31433333334</v>
      </c>
      <c r="BH75" s="164"/>
      <c r="BI75" s="164"/>
      <c r="BJ75" s="164"/>
      <c r="BK75" s="164"/>
      <c r="BL75" s="164"/>
      <c r="BM75" s="186">
        <f>SUM(BM66:BM68)</f>
        <v>0</v>
      </c>
      <c r="BN75" s="167">
        <f>SUM(BN66:BN68)</f>
        <v>0</v>
      </c>
      <c r="BO75" s="167">
        <f>SUM(BO66:BO74)</f>
        <v>4376884.6396666663</v>
      </c>
      <c r="BP75" s="167">
        <f>SUM(BP66:BP73)</f>
        <v>4446181.9463333329</v>
      </c>
      <c r="BQ75" s="167">
        <f>SUM(BQ66:BQ74)</f>
        <v>14737080.843666667</v>
      </c>
      <c r="BR75" s="224"/>
      <c r="BS75" s="224"/>
      <c r="BT75" s="195"/>
      <c r="BU75" s="195"/>
      <c r="BV75" s="195"/>
      <c r="BW75" s="195"/>
      <c r="BX75" s="195"/>
      <c r="BY75" s="195"/>
      <c r="BZ75" s="195"/>
      <c r="CA75" s="195"/>
      <c r="CB75" s="195"/>
      <c r="CC75" s="195"/>
      <c r="CD75" s="195"/>
      <c r="CE75" s="195"/>
      <c r="CF75" s="195"/>
      <c r="CG75" s="195"/>
      <c r="CH75" s="195"/>
      <c r="CI75" s="195"/>
      <c r="CJ75" s="195"/>
      <c r="CK75" s="195"/>
      <c r="CL75" s="195"/>
      <c r="CM75" s="195"/>
      <c r="CN75" s="195"/>
      <c r="CO75" s="195"/>
      <c r="CP75" s="195"/>
      <c r="CQ75" s="195"/>
      <c r="CR75" s="195"/>
      <c r="CS75" s="195"/>
      <c r="CT75" s="195"/>
      <c r="CU75" s="195"/>
      <c r="CV75" s="195"/>
      <c r="CW75" s="195"/>
      <c r="CX75" s="195"/>
      <c r="CY75" s="195"/>
      <c r="CZ75" s="195"/>
      <c r="DA75" s="195"/>
      <c r="DB75" s="195"/>
      <c r="DC75" s="195"/>
      <c r="DD75" s="195"/>
      <c r="DE75" s="195"/>
      <c r="DF75" s="195"/>
      <c r="DG75" s="195"/>
      <c r="DH75" s="195"/>
      <c r="DI75" s="195"/>
      <c r="DJ75" s="195"/>
      <c r="DK75" s="195"/>
      <c r="DL75" s="195"/>
      <c r="DM75" s="195"/>
      <c r="DN75" s="195"/>
      <c r="DO75" s="195"/>
      <c r="DP75" s="195"/>
      <c r="DQ75" s="195"/>
      <c r="DR75" s="195"/>
      <c r="DS75" s="195"/>
      <c r="DT75" s="195"/>
      <c r="DU75" s="195"/>
      <c r="DV75" s="195"/>
      <c r="DW75" s="195"/>
      <c r="DX75" s="195"/>
      <c r="DY75" s="195"/>
      <c r="DZ75" s="195"/>
      <c r="EA75" s="195"/>
      <c r="EB75" s="195"/>
      <c r="EC75" s="195"/>
      <c r="ED75" s="195"/>
      <c r="EE75" s="195"/>
      <c r="EF75" s="195"/>
      <c r="EG75" s="195"/>
      <c r="EH75" s="195"/>
      <c r="EI75" s="195"/>
      <c r="EJ75" s="195"/>
      <c r="EK75" s="195"/>
      <c r="EL75" s="195"/>
    </row>
    <row r="76" spans="1:142" x14ac:dyDescent="0.3">
      <c r="BB76" s="138">
        <f>+BB21+BB54+BB62+BB75</f>
        <v>26267514.670399994</v>
      </c>
      <c r="BO76" s="138"/>
      <c r="BS76" s="224"/>
      <c r="BU76" s="225"/>
    </row>
    <row r="77" spans="1:142" x14ac:dyDescent="0.3">
      <c r="BB77" s="258" t="s">
        <v>257</v>
      </c>
      <c r="BC77" s="258"/>
      <c r="BD77" s="258"/>
      <c r="BE77" s="258"/>
      <c r="BF77" s="258"/>
      <c r="BG77" s="258"/>
      <c r="BH77" s="258"/>
      <c r="BI77" s="258"/>
      <c r="BJ77" s="258"/>
      <c r="BK77" s="258"/>
      <c r="BL77" s="258"/>
      <c r="BM77" s="258"/>
      <c r="BN77" s="258"/>
      <c r="BO77" s="258"/>
      <c r="BP77" s="258"/>
      <c r="BQ77" s="138">
        <f>+BQ21+BQ54+BQ62+BQ75</f>
        <v>154506218.15066668</v>
      </c>
      <c r="BS77" s="224"/>
    </row>
    <row r="78" spans="1:142" ht="14.4" x14ac:dyDescent="0.3">
      <c r="BB78" s="258" t="s">
        <v>186</v>
      </c>
      <c r="BC78" s="258"/>
      <c r="BD78" s="258"/>
      <c r="BE78" s="258"/>
      <c r="BF78" s="258"/>
      <c r="BG78" s="258"/>
      <c r="BH78" s="258"/>
      <c r="BI78" s="258"/>
      <c r="BJ78" s="258"/>
      <c r="BK78" s="258"/>
      <c r="BL78" s="258"/>
      <c r="BM78" s="258"/>
      <c r="BN78" s="258"/>
      <c r="BO78" s="258"/>
      <c r="BP78" s="258"/>
      <c r="BQ78" s="138">
        <v>154506225.75</v>
      </c>
      <c r="BR78" s="228"/>
      <c r="BS78" s="224"/>
    </row>
    <row r="79" spans="1:142" x14ac:dyDescent="0.3">
      <c r="J79" s="81"/>
      <c r="BB79" s="258" t="s">
        <v>187</v>
      </c>
      <c r="BC79" s="258"/>
      <c r="BD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  <c r="BQ79" s="20">
        <f>+BQ77-BQ78</f>
        <v>-7.5993333160877228</v>
      </c>
      <c r="BS79" s="224"/>
    </row>
    <row r="80" spans="1:142" x14ac:dyDescent="0.3">
      <c r="BT80" s="201"/>
    </row>
    <row r="81" spans="69:82" x14ac:dyDescent="0.3">
      <c r="BX81" s="221"/>
    </row>
    <row r="82" spans="69:82" x14ac:dyDescent="0.3">
      <c r="BQ82" s="20"/>
    </row>
    <row r="83" spans="69:82" x14ac:dyDescent="0.3">
      <c r="BU83" s="222"/>
      <c r="BV83" s="222"/>
      <c r="BW83" s="222"/>
      <c r="BX83" s="222"/>
      <c r="BY83" s="222"/>
      <c r="BZ83" s="222"/>
      <c r="CA83" s="222"/>
      <c r="CB83" s="222"/>
      <c r="CC83" s="222"/>
      <c r="CD83" s="222"/>
    </row>
    <row r="85" spans="69:82" x14ac:dyDescent="0.3">
      <c r="BU85" s="221"/>
      <c r="BV85" s="221"/>
      <c r="BW85" s="221"/>
      <c r="BX85" s="221"/>
      <c r="BY85" s="221"/>
      <c r="BZ85" s="221"/>
      <c r="CA85" s="221"/>
      <c r="CB85" s="221"/>
      <c r="CC85" s="221"/>
      <c r="CD85" s="221"/>
    </row>
  </sheetData>
  <autoFilter ref="B23:BQ60" xr:uid="{45682357-DEB2-49A8-94BA-DC4256605946}">
    <filterColumn colId="2">
      <filters>
        <filter val="PROFESSIONAL WIRELESS SAS"/>
      </filters>
    </filterColumn>
  </autoFilter>
  <sortState xmlns:xlrd2="http://schemas.microsoft.com/office/spreadsheetml/2017/richdata2" ref="B7:BQ20">
    <sortCondition ref="C7:C20"/>
  </sortState>
  <mergeCells count="269">
    <mergeCell ref="BP64:BP65"/>
    <mergeCell ref="BQ64:BQ65"/>
    <mergeCell ref="BB77:BP77"/>
    <mergeCell ref="BB78:BP78"/>
    <mergeCell ref="BB79:BP79"/>
    <mergeCell ref="BP57:BP58"/>
    <mergeCell ref="BP5:BP6"/>
    <mergeCell ref="BQ5:BQ6"/>
    <mergeCell ref="AY64:AY65"/>
    <mergeCell ref="AZ64:AZ65"/>
    <mergeCell ref="BA64:BA65"/>
    <mergeCell ref="BB64:BB65"/>
    <mergeCell ref="BQ57:BQ58"/>
    <mergeCell ref="BM5:BM6"/>
    <mergeCell ref="BN5:BN6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AS64:AS65"/>
    <mergeCell ref="AT64:AT65"/>
    <mergeCell ref="AU64:AU65"/>
    <mergeCell ref="AV64:AV65"/>
    <mergeCell ref="AW64:AW65"/>
    <mergeCell ref="AX64:AX65"/>
    <mergeCell ref="AN64:AN65"/>
    <mergeCell ref="AO64:AO65"/>
    <mergeCell ref="AP64:AP65"/>
    <mergeCell ref="AQ64:AQ65"/>
    <mergeCell ref="AR64:AR65"/>
    <mergeCell ref="AH64:AH65"/>
    <mergeCell ref="AI64:AI65"/>
    <mergeCell ref="AJ64:AJ65"/>
    <mergeCell ref="AK64:AK65"/>
    <mergeCell ref="AL64:AL65"/>
    <mergeCell ref="AM64:AM65"/>
    <mergeCell ref="AB64:AB65"/>
    <mergeCell ref="AC64:AC65"/>
    <mergeCell ref="AD64:AD65"/>
    <mergeCell ref="AE64:AE65"/>
    <mergeCell ref="AF64:AF65"/>
    <mergeCell ref="AG64:AG65"/>
    <mergeCell ref="V64:V65"/>
    <mergeCell ref="W64:W65"/>
    <mergeCell ref="X64:X65"/>
    <mergeCell ref="Y64:Y65"/>
    <mergeCell ref="Z64:Z65"/>
    <mergeCell ref="AA64:AA65"/>
    <mergeCell ref="P64:P65"/>
    <mergeCell ref="Q64:Q65"/>
    <mergeCell ref="R64:R65"/>
    <mergeCell ref="S64:S65"/>
    <mergeCell ref="T64:T65"/>
    <mergeCell ref="U64:U65"/>
    <mergeCell ref="J64:J65"/>
    <mergeCell ref="K64:K65"/>
    <mergeCell ref="L64:L65"/>
    <mergeCell ref="M64:M65"/>
    <mergeCell ref="O64:O65"/>
    <mergeCell ref="B64:B65"/>
    <mergeCell ref="C64:C65"/>
    <mergeCell ref="E64:E65"/>
    <mergeCell ref="F64:F65"/>
    <mergeCell ref="G64:G65"/>
    <mergeCell ref="H64:H65"/>
    <mergeCell ref="I64:I65"/>
    <mergeCell ref="AX57:AX58"/>
    <mergeCell ref="AY57:AY58"/>
    <mergeCell ref="AZ57:AZ58"/>
    <mergeCell ref="BA57:BA58"/>
    <mergeCell ref="BB57:BB58"/>
    <mergeCell ref="AR57:AR58"/>
    <mergeCell ref="AS57:AS58"/>
    <mergeCell ref="AT57:AT58"/>
    <mergeCell ref="AU57:AU58"/>
    <mergeCell ref="AV57:AV58"/>
    <mergeCell ref="AW57:AW58"/>
    <mergeCell ref="AN57:AN58"/>
    <mergeCell ref="AO57:AO58"/>
    <mergeCell ref="AP57:AP58"/>
    <mergeCell ref="AQ57:AQ58"/>
    <mergeCell ref="AG57:AG58"/>
    <mergeCell ref="AH57:AH58"/>
    <mergeCell ref="AI57:AI58"/>
    <mergeCell ref="AJ57:AJ58"/>
    <mergeCell ref="AK57:AK58"/>
    <mergeCell ref="AL57:AL58"/>
    <mergeCell ref="AE57:AE58"/>
    <mergeCell ref="AF57:AF58"/>
    <mergeCell ref="U57:U58"/>
    <mergeCell ref="V57:V58"/>
    <mergeCell ref="W57:W58"/>
    <mergeCell ref="X57:X58"/>
    <mergeCell ref="Y57:Y58"/>
    <mergeCell ref="Z57:Z58"/>
    <mergeCell ref="AM57:AM58"/>
    <mergeCell ref="P57:P58"/>
    <mergeCell ref="Q57:Q58"/>
    <mergeCell ref="R57:R58"/>
    <mergeCell ref="S57:S58"/>
    <mergeCell ref="T57:T58"/>
    <mergeCell ref="AA57:AA58"/>
    <mergeCell ref="AB57:AB58"/>
    <mergeCell ref="AC57:AC58"/>
    <mergeCell ref="AD57:AD58"/>
    <mergeCell ref="BP23:BP24"/>
    <mergeCell ref="BQ23:BQ24"/>
    <mergeCell ref="AW23:AW24"/>
    <mergeCell ref="AX23:AX24"/>
    <mergeCell ref="AY23:AY24"/>
    <mergeCell ref="AZ23:AZ24"/>
    <mergeCell ref="BA23:BA24"/>
    <mergeCell ref="BB23:BB24"/>
    <mergeCell ref="AQ23:AQ24"/>
    <mergeCell ref="AR23:AR24"/>
    <mergeCell ref="AS23:AS24"/>
    <mergeCell ref="AT23:AT24"/>
    <mergeCell ref="AU23:AU24"/>
    <mergeCell ref="AV23:AV24"/>
    <mergeCell ref="AA23:AA24"/>
    <mergeCell ref="AB23:AB24"/>
    <mergeCell ref="AC23:AC24"/>
    <mergeCell ref="AD23:AD24"/>
    <mergeCell ref="AE23:AE24"/>
    <mergeCell ref="B57:B58"/>
    <mergeCell ref="C57:C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O57:O58"/>
    <mergeCell ref="B23:B24"/>
    <mergeCell ref="C23:C24"/>
    <mergeCell ref="E23:E24"/>
    <mergeCell ref="F23:F24"/>
    <mergeCell ref="G23:G24"/>
    <mergeCell ref="H23:H24"/>
    <mergeCell ref="U23:U24"/>
    <mergeCell ref="BB5:BB6"/>
    <mergeCell ref="AS5:AS6"/>
    <mergeCell ref="AT5:AT6"/>
    <mergeCell ref="AU5:AU6"/>
    <mergeCell ref="AV5:AV6"/>
    <mergeCell ref="AW5:AW6"/>
    <mergeCell ref="AX5:AX6"/>
    <mergeCell ref="AP23:AP24"/>
    <mergeCell ref="AF23:AF24"/>
    <mergeCell ref="AG23:AG24"/>
    <mergeCell ref="AH23:AH24"/>
    <mergeCell ref="AI23:AI24"/>
    <mergeCell ref="AJ23:AJ24"/>
    <mergeCell ref="AK23:AK24"/>
    <mergeCell ref="AL23:AL24"/>
    <mergeCell ref="AM23:AM24"/>
    <mergeCell ref="AN23:AN24"/>
    <mergeCell ref="AO23:AO24"/>
    <mergeCell ref="I23:I24"/>
    <mergeCell ref="J23:J24"/>
    <mergeCell ref="K23:K24"/>
    <mergeCell ref="L23:L24"/>
    <mergeCell ref="M23:M24"/>
    <mergeCell ref="O23:O24"/>
    <mergeCell ref="X23:X24"/>
    <mergeCell ref="Y23:Y24"/>
    <mergeCell ref="Z23:Z24"/>
    <mergeCell ref="W23:W24"/>
    <mergeCell ref="P23:P24"/>
    <mergeCell ref="Q23:Q24"/>
    <mergeCell ref="R23:R24"/>
    <mergeCell ref="S23:S24"/>
    <mergeCell ref="T23:T24"/>
    <mergeCell ref="V23:V24"/>
    <mergeCell ref="BL5:BL6"/>
    <mergeCell ref="AN5:AN6"/>
    <mergeCell ref="AO5:AO6"/>
    <mergeCell ref="AP5:AP6"/>
    <mergeCell ref="AQ5:AQ6"/>
    <mergeCell ref="AR5:AR6"/>
    <mergeCell ref="AH5:AH6"/>
    <mergeCell ref="AI5:AI6"/>
    <mergeCell ref="AJ5:AJ6"/>
    <mergeCell ref="AK5:AK6"/>
    <mergeCell ref="AL5:AL6"/>
    <mergeCell ref="AM5:AM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AY5:AY6"/>
    <mergeCell ref="AZ5:AZ6"/>
    <mergeCell ref="BA5:BA6"/>
    <mergeCell ref="L5:L6"/>
    <mergeCell ref="M5:M6"/>
    <mergeCell ref="O5:O6"/>
    <mergeCell ref="P5:P6"/>
    <mergeCell ref="AC5:AC6"/>
    <mergeCell ref="AD5:AD6"/>
    <mergeCell ref="AE5:AE6"/>
    <mergeCell ref="AF5:AF6"/>
    <mergeCell ref="AG5:AG6"/>
    <mergeCell ref="W5:W6"/>
    <mergeCell ref="X5:X6"/>
    <mergeCell ref="Y5:Y6"/>
    <mergeCell ref="Z5:Z6"/>
    <mergeCell ref="AA5:AA6"/>
    <mergeCell ref="AB5:AB6"/>
    <mergeCell ref="BH57:BH58"/>
    <mergeCell ref="BI57:BI58"/>
    <mergeCell ref="BJ57:BJ58"/>
    <mergeCell ref="BK57:BK58"/>
    <mergeCell ref="BL57:BL58"/>
    <mergeCell ref="BM57:BM58"/>
    <mergeCell ref="BN57:BN58"/>
    <mergeCell ref="B1:Y1"/>
    <mergeCell ref="B2:Y2"/>
    <mergeCell ref="B5:B6"/>
    <mergeCell ref="C5:C6"/>
    <mergeCell ref="E5:E6"/>
    <mergeCell ref="F5:F6"/>
    <mergeCell ref="G5:G6"/>
    <mergeCell ref="H5:H6"/>
    <mergeCell ref="I5:I6"/>
    <mergeCell ref="J5:J6"/>
    <mergeCell ref="Q5:Q6"/>
    <mergeCell ref="R5:R6"/>
    <mergeCell ref="S5:S6"/>
    <mergeCell ref="T5:T6"/>
    <mergeCell ref="U5:U6"/>
    <mergeCell ref="V5:V6"/>
    <mergeCell ref="K5:K6"/>
    <mergeCell ref="BL64:BL65"/>
    <mergeCell ref="BM64:BM65"/>
    <mergeCell ref="BN64:BN65"/>
    <mergeCell ref="BO5:BO6"/>
    <mergeCell ref="BO23:BO24"/>
    <mergeCell ref="BO57:BO58"/>
    <mergeCell ref="BO64:BO65"/>
    <mergeCell ref="BC64:BC65"/>
    <mergeCell ref="BD64:BD65"/>
    <mergeCell ref="BE64:BE65"/>
    <mergeCell ref="BF64:BF65"/>
    <mergeCell ref="BG64:BG65"/>
    <mergeCell ref="BH64:BH65"/>
    <mergeCell ref="BI64:BI65"/>
    <mergeCell ref="BJ64:BJ65"/>
    <mergeCell ref="BK64:BK65"/>
    <mergeCell ref="BL23:BL24"/>
    <mergeCell ref="BM23:BM24"/>
    <mergeCell ref="BN23:BN24"/>
    <mergeCell ref="BC57:BC58"/>
    <mergeCell ref="BD57:BD58"/>
    <mergeCell ref="BE57:BE58"/>
    <mergeCell ref="BF57:BF58"/>
    <mergeCell ref="BG57:BG58"/>
  </mergeCells>
  <pageMargins left="0.23622047244094491" right="0.23622047244094491" top="0.74803149606299213" bottom="0.74803149606299213" header="0.31496062992125984" footer="0.31496062992125984"/>
  <pageSetup scale="75" orientation="landscape" horizontalDpi="1200" verticalDpi="1200" r:id="rId1"/>
  <ignoredErrors>
    <ignoredError sqref="AB25:AO33 K67 K15 AO7:AO8 BB75 AO59 BB7:BB8 BB26:BB38 BB39:BB45 BB59:BB60 BB66:BB67 BD48 BB20 BP75" formula="1"/>
    <ignoredError sqref="BL21:BM21 BK54:BN54 BH54:BJ54 BF21 BJ21:BK21 BM75:BN75 BM62:BN62 BH21:BI21" formulaRange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0097-9A6C-4AC1-BD8C-669D340FCA7F}">
  <dimension ref="A1:H27"/>
  <sheetViews>
    <sheetView topLeftCell="A4" workbookViewId="0">
      <selection activeCell="A19" sqref="A19"/>
    </sheetView>
  </sheetViews>
  <sheetFormatPr baseColWidth="10" defaultRowHeight="14.4" x14ac:dyDescent="0.3"/>
  <cols>
    <col min="2" max="2" width="38.109375" bestFit="1" customWidth="1"/>
    <col min="5" max="5" width="12.6640625" bestFit="1" customWidth="1"/>
  </cols>
  <sheetData>
    <row r="1" spans="1:8" x14ac:dyDescent="0.3">
      <c r="A1" s="171" t="s">
        <v>188</v>
      </c>
      <c r="B1" s="170"/>
      <c r="C1" s="173"/>
      <c r="D1" s="173"/>
      <c r="E1" s="173"/>
    </row>
    <row r="2" spans="1:8" x14ac:dyDescent="0.3">
      <c r="A2" s="171" t="s">
        <v>189</v>
      </c>
      <c r="B2" s="170"/>
      <c r="C2" s="173"/>
      <c r="D2" s="173"/>
      <c r="E2" s="173"/>
    </row>
    <row r="3" spans="1:8" x14ac:dyDescent="0.3">
      <c r="A3" s="171" t="s">
        <v>190</v>
      </c>
      <c r="B3" s="170"/>
      <c r="C3" s="173"/>
      <c r="D3" s="173"/>
      <c r="E3" s="173"/>
    </row>
    <row r="4" spans="1:8" x14ac:dyDescent="0.3">
      <c r="A4" s="171" t="s">
        <v>250</v>
      </c>
      <c r="B4" s="170"/>
      <c r="C4" s="173"/>
      <c r="D4" s="173"/>
      <c r="E4" s="173"/>
    </row>
    <row r="5" spans="1:8" x14ac:dyDescent="0.3">
      <c r="A5" s="171" t="s">
        <v>192</v>
      </c>
      <c r="B5" s="170"/>
      <c r="C5" s="173"/>
      <c r="D5" s="173"/>
      <c r="E5" s="173"/>
    </row>
    <row r="6" spans="1:8" x14ac:dyDescent="0.3">
      <c r="A6" s="171" t="s">
        <v>193</v>
      </c>
      <c r="B6" s="170" t="s">
        <v>194</v>
      </c>
      <c r="C6" s="173" t="s">
        <v>195</v>
      </c>
      <c r="D6" s="173" t="s">
        <v>65</v>
      </c>
      <c r="E6" s="173" t="s">
        <v>66</v>
      </c>
      <c r="F6" s="173" t="s">
        <v>196</v>
      </c>
      <c r="G6" s="173" t="s">
        <v>197</v>
      </c>
    </row>
    <row r="7" spans="1:8" x14ac:dyDescent="0.3">
      <c r="A7" s="171">
        <v>15921001</v>
      </c>
      <c r="B7" s="170" t="s">
        <v>237</v>
      </c>
      <c r="C7" s="173"/>
    </row>
    <row r="8" spans="1:8" x14ac:dyDescent="0.3">
      <c r="A8" s="172">
        <v>901187880</v>
      </c>
      <c r="B8" t="s">
        <v>188</v>
      </c>
      <c r="C8" s="116">
        <v>0</v>
      </c>
      <c r="D8" s="116">
        <v>0</v>
      </c>
      <c r="E8" s="116">
        <v>409296</v>
      </c>
      <c r="F8" s="116">
        <v>-409296</v>
      </c>
      <c r="G8" s="116" t="s">
        <v>198</v>
      </c>
    </row>
    <row r="9" spans="1:8" x14ac:dyDescent="0.3">
      <c r="A9" s="171"/>
      <c r="B9" s="170" t="s">
        <v>238</v>
      </c>
      <c r="C9" s="173">
        <v>0</v>
      </c>
      <c r="D9" s="173">
        <v>0</v>
      </c>
      <c r="E9" s="173">
        <v>409296</v>
      </c>
      <c r="F9" s="175">
        <v>-409296</v>
      </c>
      <c r="G9" t="s">
        <v>252</v>
      </c>
    </row>
    <row r="10" spans="1:8" x14ac:dyDescent="0.3">
      <c r="A10" s="171">
        <v>15921501</v>
      </c>
      <c r="B10" s="170" t="s">
        <v>239</v>
      </c>
    </row>
    <row r="11" spans="1:8" x14ac:dyDescent="0.3">
      <c r="A11" s="172">
        <v>901187880</v>
      </c>
      <c r="B11" t="s">
        <v>188</v>
      </c>
      <c r="C11" s="116">
        <v>-812505</v>
      </c>
      <c r="D11" s="116">
        <v>0</v>
      </c>
      <c r="E11" s="116">
        <v>12275125</v>
      </c>
      <c r="F11" s="116">
        <v>-13087630</v>
      </c>
      <c r="G11" s="116" t="s">
        <v>198</v>
      </c>
    </row>
    <row r="12" spans="1:8" x14ac:dyDescent="0.3">
      <c r="A12" s="171"/>
      <c r="B12" s="170" t="s">
        <v>240</v>
      </c>
      <c r="C12" s="173">
        <v>-812505</v>
      </c>
      <c r="D12" s="173">
        <v>0</v>
      </c>
      <c r="E12" s="173">
        <v>12275125</v>
      </c>
      <c r="F12" s="175">
        <v>-13087630</v>
      </c>
      <c r="G12" s="116">
        <f>+F12+F15</f>
        <v>-15994530</v>
      </c>
      <c r="H12" t="s">
        <v>251</v>
      </c>
    </row>
    <row r="13" spans="1:8" x14ac:dyDescent="0.3">
      <c r="A13" s="171">
        <v>15921505</v>
      </c>
      <c r="B13" s="170" t="s">
        <v>241</v>
      </c>
    </row>
    <row r="14" spans="1:8" x14ac:dyDescent="0.3">
      <c r="A14" s="172">
        <v>901187880</v>
      </c>
      <c r="B14" t="s">
        <v>188</v>
      </c>
      <c r="C14" s="116">
        <v>-2906900</v>
      </c>
      <c r="D14" s="116">
        <v>0</v>
      </c>
      <c r="E14" s="116">
        <v>0</v>
      </c>
      <c r="F14" s="116">
        <v>-2906900</v>
      </c>
      <c r="G14" s="116" t="s">
        <v>198</v>
      </c>
    </row>
    <row r="15" spans="1:8" x14ac:dyDescent="0.3">
      <c r="A15" s="171"/>
      <c r="B15" s="170" t="s">
        <v>242</v>
      </c>
      <c r="C15" s="173">
        <v>-2906900</v>
      </c>
      <c r="D15" s="173">
        <v>0</v>
      </c>
      <c r="E15" s="173">
        <v>0</v>
      </c>
      <c r="F15" s="175">
        <v>-2906900</v>
      </c>
    </row>
    <row r="16" spans="1:8" x14ac:dyDescent="0.3">
      <c r="A16" s="171">
        <v>15922001</v>
      </c>
      <c r="B16" s="170" t="s">
        <v>243</v>
      </c>
    </row>
    <row r="17" spans="1:7" x14ac:dyDescent="0.3">
      <c r="A17" s="172">
        <v>901187880</v>
      </c>
      <c r="B17" t="s">
        <v>188</v>
      </c>
      <c r="C17" s="116">
        <v>-13645807</v>
      </c>
      <c r="D17" s="116">
        <v>0</v>
      </c>
      <c r="E17" s="116">
        <v>12221216</v>
      </c>
      <c r="F17" s="116">
        <v>-25867023</v>
      </c>
      <c r="G17" s="116" t="s">
        <v>198</v>
      </c>
    </row>
    <row r="18" spans="1:7" x14ac:dyDescent="0.3">
      <c r="A18" s="171"/>
      <c r="B18" s="170" t="s">
        <v>244</v>
      </c>
      <c r="C18" s="173">
        <v>-13645807</v>
      </c>
      <c r="D18" s="173">
        <v>0</v>
      </c>
      <c r="E18" s="173">
        <v>12221216</v>
      </c>
      <c r="F18" s="175">
        <v>-25867023</v>
      </c>
      <c r="G18" t="s">
        <v>251</v>
      </c>
    </row>
    <row r="19" spans="1:7" x14ac:dyDescent="0.3">
      <c r="A19" s="171">
        <v>15923501</v>
      </c>
      <c r="B19" s="170" t="s">
        <v>245</v>
      </c>
    </row>
    <row r="20" spans="1:7" x14ac:dyDescent="0.3">
      <c r="A20" s="172">
        <v>901187880</v>
      </c>
      <c r="B20" t="s">
        <v>188</v>
      </c>
      <c r="C20" s="116">
        <v>-117718</v>
      </c>
      <c r="D20" s="116">
        <v>0</v>
      </c>
      <c r="E20" s="116">
        <v>1632791</v>
      </c>
      <c r="F20" s="116">
        <v>-1750509</v>
      </c>
      <c r="G20" s="116" t="s">
        <v>198</v>
      </c>
    </row>
    <row r="21" spans="1:7" x14ac:dyDescent="0.3">
      <c r="A21" s="171"/>
      <c r="B21" s="170" t="s">
        <v>246</v>
      </c>
      <c r="C21" s="173">
        <v>-117718</v>
      </c>
      <c r="D21" s="173">
        <v>0</v>
      </c>
      <c r="E21" s="173">
        <v>1632791</v>
      </c>
      <c r="F21" s="173">
        <v>-1750509</v>
      </c>
      <c r="G21" s="173">
        <v>1743023</v>
      </c>
    </row>
    <row r="22" spans="1:7" x14ac:dyDescent="0.3">
      <c r="A22" s="171"/>
      <c r="B22" s="170" t="s">
        <v>247</v>
      </c>
      <c r="C22" s="173">
        <v>-17482930</v>
      </c>
      <c r="D22" s="173">
        <v>0</v>
      </c>
      <c r="E22" s="173">
        <v>26538428</v>
      </c>
      <c r="F22" s="173">
        <v>-44021358</v>
      </c>
    </row>
    <row r="24" spans="1:7" x14ac:dyDescent="0.3">
      <c r="E24" s="51">
        <f>+'DEPRECIACION DEFINITIVA'!BB62</f>
        <v>1626793.2000000002</v>
      </c>
    </row>
    <row r="26" spans="1:7" x14ac:dyDescent="0.3">
      <c r="E26" s="116"/>
    </row>
    <row r="27" spans="1:7" x14ac:dyDescent="0.3">
      <c r="E27" s="116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9D431-A23C-4B55-9BF4-00C46694B88D}">
  <dimension ref="A1:H81"/>
  <sheetViews>
    <sheetView topLeftCell="A43" workbookViewId="0">
      <selection activeCell="A26" sqref="A26:XFD26"/>
    </sheetView>
  </sheetViews>
  <sheetFormatPr baseColWidth="10" defaultRowHeight="14.4" x14ac:dyDescent="0.3"/>
  <cols>
    <col min="1" max="1" width="17.88671875" customWidth="1"/>
    <col min="2" max="2" width="38.5546875" bestFit="1" customWidth="1"/>
  </cols>
  <sheetData>
    <row r="1" spans="1:7" x14ac:dyDescent="0.3">
      <c r="A1" s="171" t="s">
        <v>188</v>
      </c>
      <c r="B1" s="170"/>
      <c r="C1" s="173"/>
      <c r="D1" s="173"/>
      <c r="E1" s="173"/>
    </row>
    <row r="2" spans="1:7" x14ac:dyDescent="0.3">
      <c r="A2" s="171" t="s">
        <v>189</v>
      </c>
      <c r="B2" s="170"/>
      <c r="C2" s="173"/>
      <c r="D2" s="173"/>
      <c r="E2" s="173"/>
    </row>
    <row r="3" spans="1:7" x14ac:dyDescent="0.3">
      <c r="A3" s="171" t="s">
        <v>190</v>
      </c>
      <c r="B3" s="170"/>
      <c r="C3" s="173"/>
      <c r="D3" s="173"/>
      <c r="E3" s="173"/>
    </row>
    <row r="4" spans="1:7" x14ac:dyDescent="0.3">
      <c r="A4" s="171" t="s">
        <v>191</v>
      </c>
      <c r="B4" s="170"/>
      <c r="C4" s="173"/>
      <c r="D4" s="173"/>
      <c r="E4" s="173"/>
    </row>
    <row r="5" spans="1:7" x14ac:dyDescent="0.3">
      <c r="A5" s="171" t="s">
        <v>192</v>
      </c>
      <c r="B5" s="170"/>
      <c r="C5" s="173"/>
      <c r="D5" s="173"/>
      <c r="E5" s="173"/>
    </row>
    <row r="6" spans="1:7" x14ac:dyDescent="0.3">
      <c r="A6" s="171" t="s">
        <v>193</v>
      </c>
      <c r="B6" s="170" t="s">
        <v>194</v>
      </c>
      <c r="C6" s="173" t="s">
        <v>195</v>
      </c>
      <c r="D6" s="173" t="s">
        <v>65</v>
      </c>
      <c r="E6" s="173" t="s">
        <v>66</v>
      </c>
      <c r="F6" s="173" t="s">
        <v>196</v>
      </c>
      <c r="G6" s="173" t="s">
        <v>197</v>
      </c>
    </row>
    <row r="7" spans="1:7" x14ac:dyDescent="0.3">
      <c r="A7" s="169">
        <v>15200501</v>
      </c>
      <c r="B7" s="174" t="s">
        <v>158</v>
      </c>
      <c r="C7" s="175"/>
      <c r="D7" s="60"/>
      <c r="E7" s="60"/>
      <c r="F7" s="60"/>
      <c r="G7" s="60"/>
    </row>
    <row r="8" spans="1:7" x14ac:dyDescent="0.3">
      <c r="A8" s="176">
        <v>800242106</v>
      </c>
      <c r="B8" s="60" t="s">
        <v>73</v>
      </c>
      <c r="C8" s="177">
        <v>0</v>
      </c>
      <c r="D8" s="177">
        <v>222605.04</v>
      </c>
      <c r="E8" s="177">
        <v>0</v>
      </c>
      <c r="F8" s="177">
        <v>222605.04</v>
      </c>
      <c r="G8" s="177" t="s">
        <v>198</v>
      </c>
    </row>
    <row r="9" spans="1:7" x14ac:dyDescent="0.3">
      <c r="A9" s="176">
        <v>890327178</v>
      </c>
      <c r="B9" s="60" t="s">
        <v>199</v>
      </c>
      <c r="C9" s="177">
        <v>0</v>
      </c>
      <c r="D9" s="177">
        <v>3221697.4743599999</v>
      </c>
      <c r="E9" s="177">
        <v>0</v>
      </c>
      <c r="F9" s="177">
        <v>3221697.4743599999</v>
      </c>
      <c r="G9" s="177" t="s">
        <v>198</v>
      </c>
    </row>
    <row r="10" spans="1:7" x14ac:dyDescent="0.3">
      <c r="A10" s="176">
        <v>16946158</v>
      </c>
      <c r="B10" s="60" t="s">
        <v>202</v>
      </c>
      <c r="C10" s="177">
        <v>0</v>
      </c>
      <c r="D10" s="177">
        <v>9660000</v>
      </c>
      <c r="E10" s="177">
        <v>0</v>
      </c>
      <c r="F10" s="177">
        <v>9660000</v>
      </c>
      <c r="G10" s="177" t="s">
        <v>198</v>
      </c>
    </row>
    <row r="11" spans="1:7" x14ac:dyDescent="0.3">
      <c r="A11" s="169"/>
      <c r="B11" s="174" t="s">
        <v>200</v>
      </c>
      <c r="C11" s="175">
        <v>0</v>
      </c>
      <c r="D11" s="175">
        <f>SUM(D8:D10)</f>
        <v>13104302.514359999</v>
      </c>
      <c r="E11" s="175">
        <v>0</v>
      </c>
      <c r="F11" s="175">
        <f>SUM(F8:F10)</f>
        <v>13104302.514359999</v>
      </c>
      <c r="G11" s="60"/>
    </row>
    <row r="12" spans="1:7" x14ac:dyDescent="0.3">
      <c r="A12" s="171">
        <v>15201001</v>
      </c>
      <c r="B12" s="170" t="s">
        <v>201</v>
      </c>
    </row>
    <row r="13" spans="1:7" x14ac:dyDescent="0.3">
      <c r="A13" s="172">
        <v>800242106</v>
      </c>
      <c r="B13" t="s">
        <v>73</v>
      </c>
      <c r="C13" s="116">
        <v>0</v>
      </c>
      <c r="D13" s="116">
        <v>1873781.52</v>
      </c>
      <c r="E13" s="116">
        <v>0</v>
      </c>
      <c r="F13" s="116">
        <v>1873781.52</v>
      </c>
      <c r="G13" s="116" t="s">
        <v>198</v>
      </c>
    </row>
    <row r="14" spans="1:7" s="60" customFormat="1" x14ac:dyDescent="0.3">
      <c r="A14" s="176">
        <v>81525615201</v>
      </c>
      <c r="B14" s="60" t="s">
        <v>203</v>
      </c>
      <c r="C14" s="177">
        <v>0</v>
      </c>
      <c r="D14" s="177">
        <v>6044080.9989999998</v>
      </c>
      <c r="E14" s="177">
        <v>0</v>
      </c>
      <c r="F14" s="177">
        <v>6044080.9989999998</v>
      </c>
      <c r="G14" s="177" t="s">
        <v>198</v>
      </c>
    </row>
    <row r="15" spans="1:7" x14ac:dyDescent="0.3">
      <c r="A15" s="172">
        <v>830122566</v>
      </c>
      <c r="B15" t="s">
        <v>204</v>
      </c>
      <c r="C15" s="116">
        <v>0</v>
      </c>
      <c r="D15" s="116">
        <v>2999</v>
      </c>
      <c r="E15" s="116">
        <v>0</v>
      </c>
      <c r="F15" s="116">
        <v>2999</v>
      </c>
      <c r="G15" s="116" t="s">
        <v>198</v>
      </c>
    </row>
    <row r="16" spans="1:7" s="60" customFormat="1" x14ac:dyDescent="0.3">
      <c r="A16" s="176">
        <v>901328134</v>
      </c>
      <c r="B16" s="60" t="s">
        <v>179</v>
      </c>
      <c r="C16" s="177">
        <v>0</v>
      </c>
      <c r="D16" s="177">
        <v>5913361</v>
      </c>
      <c r="E16" s="177">
        <v>0</v>
      </c>
      <c r="F16" s="177">
        <v>5913361</v>
      </c>
      <c r="G16" s="177" t="s">
        <v>198</v>
      </c>
    </row>
    <row r="17" spans="1:8" x14ac:dyDescent="0.3">
      <c r="A17" s="171"/>
      <c r="B17" s="170" t="s">
        <v>205</v>
      </c>
      <c r="C17" s="173">
        <v>0</v>
      </c>
      <c r="D17" s="173">
        <f>SUM(D13:D16)</f>
        <v>13834222.518999999</v>
      </c>
      <c r="E17" s="173">
        <v>0</v>
      </c>
      <c r="F17" s="173">
        <f>SUM(F13:F16)</f>
        <v>13834222.518999999</v>
      </c>
    </row>
    <row r="18" spans="1:8" x14ac:dyDescent="0.3">
      <c r="A18" s="169">
        <v>15201099</v>
      </c>
      <c r="B18" s="174" t="s">
        <v>206</v>
      </c>
      <c r="C18" s="60"/>
      <c r="D18" s="60"/>
      <c r="E18" s="60"/>
      <c r="F18" s="60"/>
      <c r="G18" s="60"/>
    </row>
    <row r="19" spans="1:8" x14ac:dyDescent="0.3">
      <c r="A19" s="176">
        <v>800242106</v>
      </c>
      <c r="B19" s="60" t="s">
        <v>73</v>
      </c>
      <c r="C19" s="177">
        <v>0</v>
      </c>
      <c r="D19" s="177">
        <v>398313.44</v>
      </c>
      <c r="E19" s="177">
        <v>0</v>
      </c>
      <c r="F19" s="177">
        <v>398313.44</v>
      </c>
      <c r="G19" s="177" t="s">
        <v>198</v>
      </c>
    </row>
    <row r="20" spans="1:8" x14ac:dyDescent="0.3">
      <c r="A20" s="176">
        <v>890327178</v>
      </c>
      <c r="B20" s="60" t="s">
        <v>199</v>
      </c>
      <c r="C20" s="177">
        <v>0</v>
      </c>
      <c r="D20" s="177">
        <v>612122.52099999995</v>
      </c>
      <c r="E20" s="177">
        <v>0</v>
      </c>
      <c r="F20" s="177">
        <v>612122.52099999995</v>
      </c>
      <c r="G20" s="177" t="s">
        <v>198</v>
      </c>
    </row>
    <row r="21" spans="1:8" s="60" customFormat="1" x14ac:dyDescent="0.3">
      <c r="A21" s="176">
        <v>901328134</v>
      </c>
      <c r="B21" s="60" t="s">
        <v>179</v>
      </c>
      <c r="C21" s="177">
        <v>0</v>
      </c>
      <c r="D21" s="177">
        <v>1123539</v>
      </c>
      <c r="E21" s="177">
        <v>0</v>
      </c>
      <c r="F21" s="177">
        <v>1123539</v>
      </c>
      <c r="G21" s="177" t="s">
        <v>198</v>
      </c>
      <c r="H21" s="60" t="s">
        <v>249</v>
      </c>
    </row>
    <row r="22" spans="1:8" x14ac:dyDescent="0.3">
      <c r="A22" s="171"/>
      <c r="B22" s="170" t="s">
        <v>207</v>
      </c>
      <c r="C22" s="173">
        <v>0</v>
      </c>
      <c r="D22" s="173">
        <v>2133974.9610000001</v>
      </c>
      <c r="E22" s="173">
        <v>0</v>
      </c>
      <c r="F22" s="173">
        <v>2133974.9610000001</v>
      </c>
    </row>
    <row r="23" spans="1:8" x14ac:dyDescent="0.3">
      <c r="A23" s="171">
        <v>15240501</v>
      </c>
      <c r="B23" s="170" t="s">
        <v>208</v>
      </c>
    </row>
    <row r="24" spans="1:8" s="60" customFormat="1" x14ac:dyDescent="0.3">
      <c r="A24" s="176">
        <v>79523604</v>
      </c>
      <c r="B24" s="60" t="s">
        <v>126</v>
      </c>
      <c r="C24" s="177">
        <v>0</v>
      </c>
      <c r="D24" s="177">
        <v>6500000</v>
      </c>
      <c r="E24" s="177">
        <v>0</v>
      </c>
      <c r="F24" s="177">
        <v>6500000</v>
      </c>
      <c r="G24" s="177" t="s">
        <v>198</v>
      </c>
    </row>
    <row r="25" spans="1:8" s="60" customFormat="1" x14ac:dyDescent="0.3">
      <c r="A25" s="176">
        <v>800242106</v>
      </c>
      <c r="B25" s="60" t="s">
        <v>73</v>
      </c>
      <c r="C25" s="177">
        <v>0</v>
      </c>
      <c r="D25" s="177">
        <v>1569900.003</v>
      </c>
      <c r="E25" s="177">
        <v>0</v>
      </c>
      <c r="F25" s="177">
        <v>1569900.003</v>
      </c>
      <c r="G25" s="177" t="s">
        <v>198</v>
      </c>
    </row>
    <row r="26" spans="1:8" s="60" customFormat="1" x14ac:dyDescent="0.3">
      <c r="A26" s="176">
        <v>901050259</v>
      </c>
      <c r="B26" s="60" t="s">
        <v>18</v>
      </c>
      <c r="C26" s="177">
        <v>0</v>
      </c>
      <c r="D26" s="177">
        <v>12983612.539999999</v>
      </c>
      <c r="E26" s="177">
        <v>0</v>
      </c>
      <c r="F26" s="177">
        <v>12983612.539999999</v>
      </c>
      <c r="G26" s="177" t="s">
        <v>198</v>
      </c>
    </row>
    <row r="27" spans="1:8" x14ac:dyDescent="0.3">
      <c r="A27" s="171"/>
      <c r="B27" s="170" t="s">
        <v>209</v>
      </c>
      <c r="C27" s="173">
        <v>0</v>
      </c>
      <c r="D27" s="173">
        <v>21053512.542999998</v>
      </c>
      <c r="E27" s="173">
        <v>0</v>
      </c>
      <c r="F27" s="173">
        <v>21053512.542999998</v>
      </c>
    </row>
    <row r="28" spans="1:8" x14ac:dyDescent="0.3">
      <c r="A28" s="171">
        <v>15240599</v>
      </c>
      <c r="B28" s="170" t="s">
        <v>210</v>
      </c>
    </row>
    <row r="29" spans="1:8" x14ac:dyDescent="0.3">
      <c r="A29" s="176">
        <v>1085660822</v>
      </c>
      <c r="B29" s="60" t="s">
        <v>211</v>
      </c>
      <c r="C29" s="177">
        <v>0</v>
      </c>
      <c r="D29" s="177">
        <v>90210</v>
      </c>
      <c r="E29" s="177">
        <v>0</v>
      </c>
      <c r="F29" s="177">
        <v>90210</v>
      </c>
      <c r="G29" s="116" t="s">
        <v>198</v>
      </c>
    </row>
    <row r="30" spans="1:8" x14ac:dyDescent="0.3">
      <c r="A30" s="172">
        <v>901050259</v>
      </c>
      <c r="B30" t="s">
        <v>18</v>
      </c>
      <c r="C30" s="116">
        <v>0</v>
      </c>
      <c r="D30" s="116">
        <v>576386.56000000006</v>
      </c>
      <c r="E30" s="116">
        <v>0</v>
      </c>
      <c r="F30" s="116">
        <v>576386.56000000006</v>
      </c>
      <c r="G30" s="116" t="s">
        <v>198</v>
      </c>
    </row>
    <row r="31" spans="1:8" x14ac:dyDescent="0.3">
      <c r="A31" s="171"/>
      <c r="B31" s="170" t="s">
        <v>212</v>
      </c>
      <c r="C31" s="173">
        <v>0</v>
      </c>
      <c r="D31" s="173">
        <v>666596.56000000006</v>
      </c>
      <c r="E31" s="173">
        <v>0</v>
      </c>
      <c r="F31" s="173">
        <v>666596.56000000006</v>
      </c>
    </row>
    <row r="32" spans="1:8" x14ac:dyDescent="0.3">
      <c r="A32" s="171">
        <v>15241001</v>
      </c>
      <c r="B32" s="170" t="s">
        <v>213</v>
      </c>
    </row>
    <row r="33" spans="1:8" x14ac:dyDescent="0.3">
      <c r="A33" s="176">
        <v>1085660822</v>
      </c>
      <c r="B33" s="60" t="s">
        <v>211</v>
      </c>
      <c r="C33" s="177">
        <v>0</v>
      </c>
      <c r="D33" s="177">
        <v>474790</v>
      </c>
      <c r="E33" s="177">
        <v>0</v>
      </c>
      <c r="F33" s="177">
        <v>474790</v>
      </c>
      <c r="G33" s="116" t="s">
        <v>198</v>
      </c>
    </row>
    <row r="34" spans="1:8" s="60" customFormat="1" x14ac:dyDescent="0.3">
      <c r="A34" s="176">
        <v>94458616</v>
      </c>
      <c r="B34" s="60" t="s">
        <v>214</v>
      </c>
      <c r="C34" s="177">
        <v>0</v>
      </c>
      <c r="D34" s="177">
        <v>2015520</v>
      </c>
      <c r="E34" s="177">
        <v>0</v>
      </c>
      <c r="F34" s="177">
        <v>2015520</v>
      </c>
      <c r="G34" s="177" t="s">
        <v>198</v>
      </c>
    </row>
    <row r="35" spans="1:8" x14ac:dyDescent="0.3">
      <c r="A35" s="171"/>
      <c r="B35" s="170" t="s">
        <v>215</v>
      </c>
      <c r="C35" s="173">
        <v>0</v>
      </c>
      <c r="D35" s="173">
        <v>2490310</v>
      </c>
      <c r="E35" s="173">
        <v>0</v>
      </c>
      <c r="F35" s="173">
        <v>2490310</v>
      </c>
    </row>
    <row r="36" spans="1:8" x14ac:dyDescent="0.3">
      <c r="A36" s="171">
        <v>15280501</v>
      </c>
      <c r="B36" s="170" t="s">
        <v>216</v>
      </c>
    </row>
    <row r="37" spans="1:8" s="60" customFormat="1" x14ac:dyDescent="0.3">
      <c r="A37" s="176">
        <v>1108120793</v>
      </c>
      <c r="B37" s="60" t="s">
        <v>217</v>
      </c>
      <c r="C37" s="177">
        <v>0</v>
      </c>
      <c r="D37" s="177">
        <v>18066500</v>
      </c>
      <c r="E37" s="177">
        <v>0</v>
      </c>
      <c r="F37" s="177">
        <v>18066500</v>
      </c>
      <c r="G37" s="177" t="s">
        <v>198</v>
      </c>
    </row>
    <row r="38" spans="1:8" s="60" customFormat="1" x14ac:dyDescent="0.3">
      <c r="A38" s="176">
        <v>1151952977</v>
      </c>
      <c r="B38" s="60" t="s">
        <v>218</v>
      </c>
      <c r="C38" s="177">
        <v>0</v>
      </c>
      <c r="D38" s="177">
        <f>11626907.83-6357999.83</f>
        <v>5268908</v>
      </c>
      <c r="E38" s="177">
        <v>0</v>
      </c>
      <c r="F38" s="177">
        <v>11626907.83</v>
      </c>
      <c r="G38" s="177" t="s">
        <v>198</v>
      </c>
    </row>
    <row r="39" spans="1:8" s="60" customFormat="1" x14ac:dyDescent="0.3">
      <c r="A39" s="176">
        <v>1151952977</v>
      </c>
      <c r="B39" s="60" t="s">
        <v>218</v>
      </c>
      <c r="C39" s="177">
        <v>0</v>
      </c>
      <c r="D39" s="177">
        <v>6357999.8300000001</v>
      </c>
      <c r="E39" s="177">
        <v>0</v>
      </c>
      <c r="F39" s="177">
        <v>11626907.83</v>
      </c>
      <c r="G39" s="177" t="s">
        <v>198</v>
      </c>
    </row>
    <row r="40" spans="1:8" s="60" customFormat="1" x14ac:dyDescent="0.3">
      <c r="A40" s="176">
        <v>16455078</v>
      </c>
      <c r="B40" s="60" t="s">
        <v>219</v>
      </c>
      <c r="C40" s="177">
        <v>0</v>
      </c>
      <c r="D40" s="177">
        <v>1932520</v>
      </c>
      <c r="E40" s="177">
        <v>0</v>
      </c>
      <c r="F40" s="177">
        <v>1932520</v>
      </c>
      <c r="G40" s="177" t="s">
        <v>198</v>
      </c>
    </row>
    <row r="41" spans="1:8" s="60" customFormat="1" x14ac:dyDescent="0.3">
      <c r="A41" s="176">
        <v>901093620</v>
      </c>
      <c r="B41" s="60" t="s">
        <v>163</v>
      </c>
      <c r="C41" s="177">
        <v>0</v>
      </c>
      <c r="D41" s="177">
        <v>31180336</v>
      </c>
      <c r="E41" s="177">
        <v>0</v>
      </c>
      <c r="F41" s="177">
        <v>31180336</v>
      </c>
      <c r="G41" s="177" t="s">
        <v>198</v>
      </c>
    </row>
    <row r="42" spans="1:8" s="60" customFormat="1" x14ac:dyDescent="0.3">
      <c r="A42" s="176">
        <v>901189477</v>
      </c>
      <c r="B42" s="60" t="s">
        <v>112</v>
      </c>
      <c r="C42" s="177">
        <v>0</v>
      </c>
      <c r="D42" s="177">
        <v>4579831</v>
      </c>
      <c r="E42" s="177">
        <v>0</v>
      </c>
      <c r="F42" s="177">
        <v>4579831</v>
      </c>
      <c r="G42" s="177" t="s">
        <v>198</v>
      </c>
    </row>
    <row r="43" spans="1:8" s="60" customFormat="1" x14ac:dyDescent="0.3">
      <c r="A43" s="176">
        <v>91259086</v>
      </c>
      <c r="B43" s="60" t="s">
        <v>220</v>
      </c>
      <c r="C43" s="177">
        <v>0</v>
      </c>
      <c r="D43" s="177">
        <v>7449900</v>
      </c>
      <c r="E43" s="177">
        <v>0</v>
      </c>
      <c r="F43" s="177">
        <v>7449900</v>
      </c>
      <c r="G43" s="177" t="s">
        <v>198</v>
      </c>
    </row>
    <row r="44" spans="1:8" x14ac:dyDescent="0.3">
      <c r="A44" s="171"/>
      <c r="B44" s="170" t="s">
        <v>221</v>
      </c>
      <c r="C44" s="173">
        <v>0</v>
      </c>
      <c r="D44" s="173">
        <v>74835994.829999998</v>
      </c>
      <c r="E44" s="173">
        <v>0</v>
      </c>
      <c r="F44" s="173">
        <v>74835994.829999998</v>
      </c>
      <c r="H44" s="116">
        <f>+F11+F17+F27+F35+F44+F53+F57+F61</f>
        <v>160459013.40636</v>
      </c>
    </row>
    <row r="45" spans="1:8" x14ac:dyDescent="0.3">
      <c r="A45" s="171">
        <v>15280599</v>
      </c>
      <c r="B45" s="170" t="s">
        <v>222</v>
      </c>
      <c r="H45" s="116">
        <f>+F22+F31+F50+F64</f>
        <v>12669646.521</v>
      </c>
    </row>
    <row r="46" spans="1:8" x14ac:dyDescent="0.3">
      <c r="A46" s="172">
        <v>1151952977</v>
      </c>
      <c r="B46" t="s">
        <v>218</v>
      </c>
      <c r="C46" s="116">
        <v>0</v>
      </c>
      <c r="D46" s="116">
        <v>1001092</v>
      </c>
      <c r="E46" s="116">
        <v>0</v>
      </c>
      <c r="F46" s="116">
        <v>1001092</v>
      </c>
      <c r="G46" s="116" t="s">
        <v>198</v>
      </c>
      <c r="H46" s="116">
        <f>SUM(H44:H45)</f>
        <v>173128659.92736</v>
      </c>
    </row>
    <row r="47" spans="1:8" x14ac:dyDescent="0.3">
      <c r="A47" s="172">
        <v>800197268</v>
      </c>
      <c r="B47" t="s">
        <v>223</v>
      </c>
      <c r="C47" s="116">
        <v>0</v>
      </c>
      <c r="D47" s="116">
        <v>870168</v>
      </c>
      <c r="E47" s="116">
        <v>0</v>
      </c>
      <c r="F47" s="116">
        <v>870168</v>
      </c>
      <c r="G47" s="116" t="s">
        <v>198</v>
      </c>
    </row>
    <row r="48" spans="1:8" x14ac:dyDescent="0.3">
      <c r="A48" s="172">
        <v>901093620</v>
      </c>
      <c r="B48" t="s">
        <v>163</v>
      </c>
      <c r="C48" s="116">
        <v>0</v>
      </c>
      <c r="D48" s="116">
        <v>4917264</v>
      </c>
      <c r="E48" s="116">
        <v>0</v>
      </c>
      <c r="F48" s="116">
        <v>4917264</v>
      </c>
      <c r="G48" s="116" t="s">
        <v>198</v>
      </c>
    </row>
    <row r="49" spans="1:8" x14ac:dyDescent="0.3">
      <c r="A49" s="172">
        <v>901189477</v>
      </c>
      <c r="B49" t="s">
        <v>112</v>
      </c>
      <c r="C49" s="116">
        <v>0</v>
      </c>
      <c r="D49" s="116">
        <v>870168</v>
      </c>
      <c r="E49" s="116">
        <v>870168</v>
      </c>
      <c r="F49" s="116">
        <v>0</v>
      </c>
      <c r="G49" s="116" t="s">
        <v>198</v>
      </c>
    </row>
    <row r="50" spans="1:8" x14ac:dyDescent="0.3">
      <c r="A50" s="171"/>
      <c r="B50" s="170" t="s">
        <v>224</v>
      </c>
      <c r="C50" s="173">
        <v>0</v>
      </c>
      <c r="D50" s="173">
        <v>7658692</v>
      </c>
      <c r="E50" s="173">
        <v>870168</v>
      </c>
      <c r="F50" s="173">
        <v>6788524</v>
      </c>
      <c r="H50" s="116">
        <f>+F68+F71+F74+F77+F80</f>
        <v>-39785819</v>
      </c>
    </row>
    <row r="51" spans="1:8" x14ac:dyDescent="0.3">
      <c r="A51" s="171">
        <v>15281001</v>
      </c>
      <c r="B51" s="170" t="s">
        <v>225</v>
      </c>
    </row>
    <row r="52" spans="1:8" x14ac:dyDescent="0.3">
      <c r="A52" s="176">
        <v>890900943</v>
      </c>
      <c r="B52" s="60" t="s">
        <v>226</v>
      </c>
      <c r="C52" s="177">
        <v>0</v>
      </c>
      <c r="D52" s="177">
        <v>797900</v>
      </c>
      <c r="E52" s="177">
        <v>0</v>
      </c>
      <c r="F52" s="177">
        <v>797900</v>
      </c>
      <c r="G52" s="177" t="s">
        <v>198</v>
      </c>
    </row>
    <row r="53" spans="1:8" x14ac:dyDescent="0.3">
      <c r="A53" s="171"/>
      <c r="B53" s="170" t="s">
        <v>227</v>
      </c>
      <c r="C53" s="173">
        <v>0</v>
      </c>
      <c r="D53" s="173">
        <v>797900</v>
      </c>
      <c r="E53" s="173">
        <v>0</v>
      </c>
      <c r="F53" s="173">
        <v>797900</v>
      </c>
    </row>
    <row r="54" spans="1:8" x14ac:dyDescent="0.3">
      <c r="A54" s="171">
        <v>15289501</v>
      </c>
      <c r="B54" s="170" t="s">
        <v>228</v>
      </c>
    </row>
    <row r="55" spans="1:8" s="60" customFormat="1" x14ac:dyDescent="0.3">
      <c r="A55" s="176">
        <v>1130635512</v>
      </c>
      <c r="B55" s="60" t="s">
        <v>229</v>
      </c>
      <c r="C55" s="177">
        <v>0</v>
      </c>
      <c r="D55" s="177">
        <v>4700721</v>
      </c>
      <c r="E55" s="177">
        <v>0</v>
      </c>
      <c r="F55" s="177">
        <v>4700721</v>
      </c>
      <c r="G55" s="177" t="s">
        <v>198</v>
      </c>
    </row>
    <row r="56" spans="1:8" s="60" customFormat="1" x14ac:dyDescent="0.3">
      <c r="A56" s="176">
        <v>1143837188</v>
      </c>
      <c r="B56" s="60" t="s">
        <v>230</v>
      </c>
      <c r="C56" s="177">
        <v>0</v>
      </c>
      <c r="D56" s="177">
        <v>4178419</v>
      </c>
      <c r="E56" s="177">
        <v>0</v>
      </c>
      <c r="F56" s="177">
        <v>4178419</v>
      </c>
      <c r="G56" s="177" t="s">
        <v>198</v>
      </c>
    </row>
    <row r="57" spans="1:8" x14ac:dyDescent="0.3">
      <c r="A57" s="171"/>
      <c r="B57" s="170" t="s">
        <v>231</v>
      </c>
      <c r="C57" s="173">
        <v>0</v>
      </c>
      <c r="D57" s="173">
        <v>8879140</v>
      </c>
      <c r="E57" s="173">
        <v>0</v>
      </c>
      <c r="F57" s="173">
        <v>8879140</v>
      </c>
    </row>
    <row r="58" spans="1:8" x14ac:dyDescent="0.3">
      <c r="A58" s="169">
        <v>15400501</v>
      </c>
      <c r="B58" s="174" t="s">
        <v>232</v>
      </c>
      <c r="C58" s="60"/>
      <c r="D58" s="60"/>
      <c r="E58" s="60"/>
      <c r="F58" s="60"/>
      <c r="G58" s="60"/>
    </row>
    <row r="59" spans="1:8" x14ac:dyDescent="0.3">
      <c r="A59" s="176">
        <v>891410137</v>
      </c>
      <c r="B59" s="60" t="s">
        <v>233</v>
      </c>
      <c r="C59" s="177">
        <v>0</v>
      </c>
      <c r="D59" s="177">
        <v>11409449</v>
      </c>
      <c r="E59" s="177">
        <v>0</v>
      </c>
      <c r="F59" s="177">
        <v>11409449</v>
      </c>
      <c r="G59" s="177" t="s">
        <v>198</v>
      </c>
    </row>
    <row r="60" spans="1:8" x14ac:dyDescent="0.3">
      <c r="A60" s="176">
        <v>901261048</v>
      </c>
      <c r="B60" s="60" t="s">
        <v>119</v>
      </c>
      <c r="C60" s="177">
        <v>0</v>
      </c>
      <c r="D60" s="177">
        <v>14054182</v>
      </c>
      <c r="E60" s="177">
        <v>0</v>
      </c>
      <c r="F60" s="177">
        <v>14054182</v>
      </c>
      <c r="G60" s="177" t="s">
        <v>198</v>
      </c>
    </row>
    <row r="61" spans="1:8" x14ac:dyDescent="0.3">
      <c r="A61" s="169"/>
      <c r="B61" s="174" t="s">
        <v>234</v>
      </c>
      <c r="C61" s="175">
        <v>0</v>
      </c>
      <c r="D61" s="175">
        <v>25463631</v>
      </c>
      <c r="E61" s="175">
        <v>0</v>
      </c>
      <c r="F61" s="175">
        <v>25463631</v>
      </c>
      <c r="G61" s="60"/>
    </row>
    <row r="62" spans="1:8" x14ac:dyDescent="0.3">
      <c r="A62" s="169">
        <v>15400599</v>
      </c>
      <c r="B62" s="174" t="s">
        <v>235</v>
      </c>
      <c r="C62" s="60"/>
      <c r="D62" s="60"/>
      <c r="E62" s="60"/>
      <c r="F62" s="60"/>
      <c r="G62" s="60"/>
    </row>
    <row r="63" spans="1:8" x14ac:dyDescent="0.3">
      <c r="A63" s="176">
        <v>891410137</v>
      </c>
      <c r="B63" s="60" t="s">
        <v>233</v>
      </c>
      <c r="C63" s="177">
        <v>0</v>
      </c>
      <c r="D63" s="177">
        <v>3080551</v>
      </c>
      <c r="E63" s="177">
        <v>0</v>
      </c>
      <c r="F63" s="177">
        <v>3080551</v>
      </c>
      <c r="G63" s="177" t="s">
        <v>198</v>
      </c>
    </row>
    <row r="64" spans="1:8" x14ac:dyDescent="0.3">
      <c r="A64" s="169"/>
      <c r="B64" s="174" t="s">
        <v>236</v>
      </c>
      <c r="C64" s="175">
        <v>0</v>
      </c>
      <c r="D64" s="175">
        <v>3080551</v>
      </c>
      <c r="E64" s="175">
        <v>0</v>
      </c>
      <c r="F64" s="175">
        <v>3080551</v>
      </c>
      <c r="G64" s="60"/>
    </row>
    <row r="65" spans="1:7" x14ac:dyDescent="0.3">
      <c r="A65" s="171">
        <v>15921001</v>
      </c>
      <c r="B65" s="170" t="s">
        <v>237</v>
      </c>
    </row>
    <row r="66" spans="1:7" x14ac:dyDescent="0.3">
      <c r="A66" s="172">
        <v>800242106</v>
      </c>
      <c r="B66" t="s">
        <v>73</v>
      </c>
      <c r="C66" s="116">
        <v>0</v>
      </c>
      <c r="D66" s="116">
        <v>0</v>
      </c>
      <c r="E66" s="116">
        <v>264900</v>
      </c>
      <c r="F66" s="116">
        <v>-264900</v>
      </c>
      <c r="G66" s="116" t="s">
        <v>198</v>
      </c>
    </row>
    <row r="67" spans="1:7" x14ac:dyDescent="0.3">
      <c r="A67" s="172">
        <v>901187880</v>
      </c>
      <c r="B67" t="s">
        <v>188</v>
      </c>
      <c r="C67" s="116">
        <v>0</v>
      </c>
      <c r="D67" s="116">
        <v>0</v>
      </c>
      <c r="E67" s="116">
        <v>2238320</v>
      </c>
      <c r="F67" s="116">
        <v>-2238320</v>
      </c>
      <c r="G67" s="116" t="s">
        <v>198</v>
      </c>
    </row>
    <row r="68" spans="1:7" x14ac:dyDescent="0.3">
      <c r="A68" s="171"/>
      <c r="B68" s="170" t="s">
        <v>238</v>
      </c>
      <c r="C68" s="173">
        <v>0</v>
      </c>
      <c r="D68" s="173">
        <v>0</v>
      </c>
      <c r="E68" s="173">
        <v>2503220</v>
      </c>
      <c r="F68" s="173">
        <v>-2503220</v>
      </c>
    </row>
    <row r="69" spans="1:7" x14ac:dyDescent="0.3">
      <c r="A69" s="171">
        <v>15921501</v>
      </c>
      <c r="B69" s="170" t="s">
        <v>239</v>
      </c>
    </row>
    <row r="70" spans="1:7" x14ac:dyDescent="0.3">
      <c r="A70" s="172">
        <v>901187880</v>
      </c>
      <c r="B70" t="s">
        <v>188</v>
      </c>
      <c r="C70" s="116">
        <v>0</v>
      </c>
      <c r="D70" s="116">
        <v>0</v>
      </c>
      <c r="E70" s="116">
        <v>8982514</v>
      </c>
      <c r="F70" s="116">
        <v>-8982514</v>
      </c>
      <c r="G70" s="116" t="s">
        <v>198</v>
      </c>
    </row>
    <row r="71" spans="1:7" x14ac:dyDescent="0.3">
      <c r="A71" s="171"/>
      <c r="B71" s="170" t="s">
        <v>240</v>
      </c>
      <c r="C71" s="173">
        <v>0</v>
      </c>
      <c r="D71" s="173">
        <v>0</v>
      </c>
      <c r="E71" s="173">
        <v>8982514</v>
      </c>
      <c r="F71" s="173">
        <v>-8982514</v>
      </c>
    </row>
    <row r="72" spans="1:7" x14ac:dyDescent="0.3">
      <c r="A72" s="171">
        <v>15921505</v>
      </c>
      <c r="B72" s="170" t="s">
        <v>241</v>
      </c>
    </row>
    <row r="73" spans="1:7" x14ac:dyDescent="0.3">
      <c r="A73" s="172">
        <v>901187880</v>
      </c>
      <c r="B73" t="s">
        <v>188</v>
      </c>
      <c r="C73" s="116">
        <v>0</v>
      </c>
      <c r="D73" s="116">
        <v>0</v>
      </c>
      <c r="E73" s="116">
        <v>3471900</v>
      </c>
      <c r="F73" s="116">
        <v>-3471900</v>
      </c>
      <c r="G73" s="116" t="s">
        <v>198</v>
      </c>
    </row>
    <row r="74" spans="1:7" x14ac:dyDescent="0.3">
      <c r="A74" s="171"/>
      <c r="B74" s="170" t="s">
        <v>242</v>
      </c>
      <c r="C74" s="173">
        <v>0</v>
      </c>
      <c r="D74" s="173">
        <v>0</v>
      </c>
      <c r="E74" s="173">
        <v>3471900</v>
      </c>
      <c r="F74" s="173">
        <v>-3471900</v>
      </c>
    </row>
    <row r="75" spans="1:7" x14ac:dyDescent="0.3">
      <c r="A75" s="171">
        <v>15922001</v>
      </c>
      <c r="B75" s="170" t="s">
        <v>243</v>
      </c>
    </row>
    <row r="76" spans="1:7" x14ac:dyDescent="0.3">
      <c r="A76" s="172">
        <v>901187880</v>
      </c>
      <c r="B76" t="s">
        <v>188</v>
      </c>
      <c r="C76" s="116">
        <v>0</v>
      </c>
      <c r="D76" s="116">
        <v>0</v>
      </c>
      <c r="E76" s="116">
        <v>23295419</v>
      </c>
      <c r="F76" s="116">
        <v>-23295419</v>
      </c>
      <c r="G76" s="116" t="s">
        <v>198</v>
      </c>
    </row>
    <row r="77" spans="1:7" x14ac:dyDescent="0.3">
      <c r="A77" s="171"/>
      <c r="B77" s="170" t="s">
        <v>244</v>
      </c>
      <c r="C77" s="173">
        <v>0</v>
      </c>
      <c r="D77" s="173">
        <v>0</v>
      </c>
      <c r="E77" s="173">
        <v>23295419</v>
      </c>
      <c r="F77" s="173">
        <v>-23295419</v>
      </c>
    </row>
    <row r="78" spans="1:7" x14ac:dyDescent="0.3">
      <c r="A78" s="171">
        <v>15923501</v>
      </c>
      <c r="B78" s="170" t="s">
        <v>245</v>
      </c>
    </row>
    <row r="79" spans="1:7" x14ac:dyDescent="0.3">
      <c r="A79" s="172">
        <v>901187880</v>
      </c>
      <c r="B79" t="s">
        <v>188</v>
      </c>
      <c r="C79" s="116">
        <v>0</v>
      </c>
      <c r="D79" s="116">
        <v>0</v>
      </c>
      <c r="E79" s="116">
        <v>1532766</v>
      </c>
      <c r="F79" s="116">
        <v>-1532766</v>
      </c>
      <c r="G79" s="116" t="s">
        <v>198</v>
      </c>
    </row>
    <row r="80" spans="1:7" x14ac:dyDescent="0.3">
      <c r="A80" s="171"/>
      <c r="B80" s="170" t="s">
        <v>246</v>
      </c>
      <c r="C80" s="173">
        <v>0</v>
      </c>
      <c r="D80" s="173">
        <v>0</v>
      </c>
      <c r="E80" s="173">
        <v>1532766</v>
      </c>
      <c r="F80" s="173">
        <v>-1532766</v>
      </c>
    </row>
    <row r="81" spans="1:6" x14ac:dyDescent="0.3">
      <c r="A81" s="171"/>
      <c r="B81" s="170" t="s">
        <v>247</v>
      </c>
      <c r="C81" s="173">
        <v>0</v>
      </c>
      <c r="D81" s="173">
        <v>173998827.92736</v>
      </c>
      <c r="E81" s="173">
        <v>40655987</v>
      </c>
      <c r="F81" s="173">
        <v>133342840.92736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4D6E130EE0C4449F43E418E319D4DF" ma:contentTypeVersion="4" ma:contentTypeDescription="Create a new document." ma:contentTypeScope="" ma:versionID="b0f281282926845cc851a735abe871c5">
  <xsd:schema xmlns:xsd="http://www.w3.org/2001/XMLSchema" xmlns:xs="http://www.w3.org/2001/XMLSchema" xmlns:p="http://schemas.microsoft.com/office/2006/metadata/properties" xmlns:ns3="e1a0bdce-e3ba-4d01-9430-db3c0c220a6c" targetNamespace="http://schemas.microsoft.com/office/2006/metadata/properties" ma:root="true" ma:fieldsID="ce90e89b34a37486e4859c024a11d6dc" ns3:_="">
    <xsd:import namespace="e1a0bdce-e3ba-4d01-9430-db3c0c220a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0bdce-e3ba-4d01-9430-db3c0c220a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5AE953-B948-43DD-8377-1FBF59BEA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2136C-3886-4D6B-9798-F3F13EA6DBB8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e1a0bdce-e3ba-4d01-9430-db3c0c220a6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FBF3F0-E2BE-4D9C-949D-F49D5B63E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a0bdce-e3ba-4d01-9430-db3c0c220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2020 + </vt:lpstr>
      <vt:lpstr>AUXILIAR ACTIVOS</vt:lpstr>
      <vt:lpstr>ART 137 ET</vt:lpstr>
      <vt:lpstr>DEPRECIACION DEFINITIVA</vt:lpstr>
      <vt:lpstr>Hoja2</vt:lpstr>
      <vt:lpstr>Hoja1</vt:lpstr>
      <vt:lpstr>'2020 +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2023-05-31T15:42:50Z</cp:lastPrinted>
  <dcterms:created xsi:type="dcterms:W3CDTF">2022-03-28T02:03:34Z</dcterms:created>
  <dcterms:modified xsi:type="dcterms:W3CDTF">2023-06-02T22:29:20Z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0x010100C24D6E130EE0C4449F43E418E319D4DF</vt:lpwstr>
  </property>
</Properties>
</file>